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70" windowWidth="9180" windowHeight="4770" activeTab="3"/>
  </bookViews>
  <sheets>
    <sheet name="BS" sheetId="1" r:id="rId1"/>
    <sheet name="S.Equity" sheetId="2" r:id="rId2"/>
    <sheet name="CI" sheetId="3" r:id="rId3"/>
    <sheet name="P&amp;L" sheetId="4" r:id="rId4"/>
    <sheet name="CFS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0">'BS'!$A$1:$K$87</definedName>
    <definedName name="_xlnm.Print_Area" localSheetId="4">'CFS'!$A$1:$L$95</definedName>
    <definedName name="_xlnm.Print_Area" localSheetId="3">'P&amp;L'!$A$1:$J$91</definedName>
    <definedName name="_xlnm.Print_Area" localSheetId="1">'S.Equity'!$A$1:$M$65</definedName>
    <definedName name="_xlnm.Print_Titles" localSheetId="3">'P&amp;L'!$18:$23</definedName>
  </definedNames>
  <calcPr fullCalcOnLoad="1"/>
</workbook>
</file>

<file path=xl/sharedStrings.xml><?xml version="1.0" encoding="utf-8"?>
<sst xmlns="http://schemas.openxmlformats.org/spreadsheetml/2006/main" count="331" uniqueCount="252">
  <si>
    <t xml:space="preserve">INSAS BERHAD </t>
  </si>
  <si>
    <t xml:space="preserve">    RM'000</t>
  </si>
  <si>
    <t/>
  </si>
  <si>
    <t>INSAS BERHAD</t>
  </si>
  <si>
    <t>Taxation</t>
  </si>
  <si>
    <t>RM'000</t>
  </si>
  <si>
    <t xml:space="preserve">      RM'000</t>
  </si>
  <si>
    <t>Inventories</t>
  </si>
  <si>
    <t>CUMULATIVE QUARTER</t>
  </si>
  <si>
    <t>As at</t>
  </si>
  <si>
    <t xml:space="preserve">As at preceding </t>
  </si>
  <si>
    <t xml:space="preserve">Deposits with licensed banks and </t>
  </si>
  <si>
    <t xml:space="preserve">  financial institutions</t>
  </si>
  <si>
    <t>Cash and bank balances</t>
  </si>
  <si>
    <t>Loans and borrowings</t>
  </si>
  <si>
    <t>ended</t>
  </si>
  <si>
    <t>quarter ended</t>
  </si>
  <si>
    <t>Revenue</t>
  </si>
  <si>
    <t>Preceding corresponding</t>
  </si>
  <si>
    <t>Company No. 4081-M</t>
  </si>
  <si>
    <t>(Incorporated in Malaysia)</t>
  </si>
  <si>
    <t>9th Floor, Exchange Square</t>
  </si>
  <si>
    <t>Bukit Kewangan</t>
  </si>
  <si>
    <t>50200 Kuala Lumpur</t>
  </si>
  <si>
    <t>- Basic</t>
  </si>
  <si>
    <t>- Diluted</t>
  </si>
  <si>
    <t>Share</t>
  </si>
  <si>
    <t xml:space="preserve">Share </t>
  </si>
  <si>
    <t>Reserve</t>
  </si>
  <si>
    <t>Exchange</t>
  </si>
  <si>
    <t>Treasury</t>
  </si>
  <si>
    <t>Total</t>
  </si>
  <si>
    <t>Cash flows from operating activities</t>
  </si>
  <si>
    <t>Non-cash items</t>
  </si>
  <si>
    <t>Finance costs</t>
  </si>
  <si>
    <t>Interest income</t>
  </si>
  <si>
    <t>Net changes in current assets</t>
  </si>
  <si>
    <t>Net changes in current liabilities</t>
  </si>
  <si>
    <t>Cash flows from investing activities</t>
  </si>
  <si>
    <t>Purchase of property, plant and equipment</t>
  </si>
  <si>
    <t>Proceeds from disposal of property, plant and equipment</t>
  </si>
  <si>
    <t>Cash flows from financing activities</t>
  </si>
  <si>
    <t>Dividend received</t>
  </si>
  <si>
    <t>Exchange differences</t>
  </si>
  <si>
    <t>Cash and cash equivalents comprise of :-</t>
  </si>
  <si>
    <t>Deposits with licensed banks and financial institutions</t>
  </si>
  <si>
    <t>INDIVIDUAL QUARTER</t>
  </si>
  <si>
    <t>Adjustments for :</t>
  </si>
  <si>
    <t>Note 1</t>
  </si>
  <si>
    <t xml:space="preserve">Preceding </t>
  </si>
  <si>
    <t>Note 2</t>
  </si>
  <si>
    <t>financial year ended</t>
  </si>
  <si>
    <t>(Audited)</t>
  </si>
  <si>
    <t>BURSA MALAYSIA SECURITIES BERHAD</t>
  </si>
  <si>
    <t>Preceding financial</t>
  </si>
  <si>
    <t>Profit before taxation</t>
  </si>
  <si>
    <t>Tax recoverable</t>
  </si>
  <si>
    <t xml:space="preserve">Quarter ended </t>
  </si>
  <si>
    <t>corresponding</t>
  </si>
  <si>
    <t>ASSETS</t>
  </si>
  <si>
    <t>TOTAL ASSETS</t>
  </si>
  <si>
    <t>EQUITY AND LIABILITIES</t>
  </si>
  <si>
    <t>TOTAL LIABILITIES</t>
  </si>
  <si>
    <t>TOTAL EQUITY AND LIABILITIES</t>
  </si>
  <si>
    <t xml:space="preserve">Total </t>
  </si>
  <si>
    <t>Note 3</t>
  </si>
  <si>
    <t xml:space="preserve">                          Company No. 4081-M</t>
  </si>
  <si>
    <t xml:space="preserve">                           (Incorporated in Malaysia)</t>
  </si>
  <si>
    <t>Cost of sales</t>
  </si>
  <si>
    <t>Administrative expenses</t>
  </si>
  <si>
    <t>Other operating expenses</t>
  </si>
  <si>
    <t>Trade receivables</t>
  </si>
  <si>
    <t>Other receivables, deposits and prepayments</t>
  </si>
  <si>
    <t xml:space="preserve">Trade payables </t>
  </si>
  <si>
    <t>Other payables and accruals</t>
  </si>
  <si>
    <t>capital</t>
  </si>
  <si>
    <t>premium</t>
  </si>
  <si>
    <t>fund</t>
  </si>
  <si>
    <t>translation</t>
  </si>
  <si>
    <t>reserve</t>
  </si>
  <si>
    <t>shares</t>
  </si>
  <si>
    <t>interests</t>
  </si>
  <si>
    <t>equity</t>
  </si>
  <si>
    <t>Exceptional items</t>
  </si>
  <si>
    <t>Property, plant and equipment</t>
  </si>
  <si>
    <t>Investment properties</t>
  </si>
  <si>
    <t>Land held for development</t>
  </si>
  <si>
    <t>Intangible assets</t>
  </si>
  <si>
    <t>Deferred tax assets</t>
  </si>
  <si>
    <t>Share capital</t>
  </si>
  <si>
    <t>Reserves</t>
  </si>
  <si>
    <t>Deferred tax liabilities</t>
  </si>
  <si>
    <t xml:space="preserve">Share of profit less losses of </t>
  </si>
  <si>
    <t xml:space="preserve"> associate companies</t>
  </si>
  <si>
    <t>Accrued billings</t>
  </si>
  <si>
    <t>Property development costs</t>
  </si>
  <si>
    <t>Other income</t>
  </si>
  <si>
    <t xml:space="preserve">                          INSAS BERHAD </t>
  </si>
  <si>
    <t>Prepaid land lease payments</t>
  </si>
  <si>
    <t>Changes in working capital :-</t>
  </si>
  <si>
    <t>Payment for intangible assets</t>
  </si>
  <si>
    <t>Current financial</t>
  </si>
  <si>
    <t xml:space="preserve">Current </t>
  </si>
  <si>
    <t>financial quarter ended</t>
  </si>
  <si>
    <t>Associate companies</t>
  </si>
  <si>
    <t>Tax payable</t>
  </si>
  <si>
    <t>Repayment of loans and borrowings</t>
  </si>
  <si>
    <t>Bank overdrafts</t>
  </si>
  <si>
    <t>FY 2010</t>
  </si>
  <si>
    <t>Retained profit</t>
  </si>
  <si>
    <t>As at 1 July 2009</t>
  </si>
  <si>
    <t>Hire purchase payables</t>
  </si>
  <si>
    <t>Repayment of hire purchase payables</t>
  </si>
  <si>
    <t>Note</t>
  </si>
  <si>
    <t>n/a</t>
  </si>
  <si>
    <t>Gain on capital repayment by an associate company</t>
  </si>
  <si>
    <t>Investment in jointly controlled entities</t>
  </si>
  <si>
    <t>Proceeds from capital repayment by an associate company</t>
  </si>
  <si>
    <t>Exceptional items represent:-</t>
  </si>
  <si>
    <t xml:space="preserve"> jointly controlled entities</t>
  </si>
  <si>
    <t>Repurchase of shares</t>
  </si>
  <si>
    <t>Payment on investment properties</t>
  </si>
  <si>
    <t>Net cash used in share buyback</t>
  </si>
  <si>
    <t>Amount due from associate companies</t>
  </si>
  <si>
    <t>of the Company (RM)*</t>
  </si>
  <si>
    <t>Payment for development expenditure</t>
  </si>
  <si>
    <t>Redeemable convertible preference shares</t>
  </si>
  <si>
    <t>Included in Other income is the following item:-</t>
  </si>
  <si>
    <t>Net cash generated from/(used in) investing activities</t>
  </si>
  <si>
    <t>Drawdown of loans and borrowings</t>
  </si>
  <si>
    <t>Earnings per share (in sen)</t>
  </si>
  <si>
    <t>30/06/2010</t>
  </si>
  <si>
    <t>(Restated)</t>
  </si>
  <si>
    <t>Treasury shares</t>
  </si>
  <si>
    <t>Non-controlling interests</t>
  </si>
  <si>
    <t>Net assets per share attributable to owners</t>
  </si>
  <si>
    <t>As at 1 July 2010</t>
  </si>
  <si>
    <t>Non-</t>
  </si>
  <si>
    <t>controlling</t>
  </si>
  <si>
    <t xml:space="preserve">Retained </t>
  </si>
  <si>
    <t>profit</t>
  </si>
  <si>
    <t>ended 30 June 2010 and the accompanying explanatory notes attached to the Interim Financial Statements)</t>
  </si>
  <si>
    <t>financial year ended 30 June 2010 and the accompanying explanatory notes attached to the Interim Financial Statements)</t>
  </si>
  <si>
    <t>for the financial year ended 30 June 2010 and the accompanying explanatory notes attached to the Interim Financial Statements)</t>
  </si>
  <si>
    <t>financial period</t>
  </si>
  <si>
    <t>Cash and cash equivalents at beginning of the financial period</t>
  </si>
  <si>
    <t>Cash and cash equivalents at end of the financial period</t>
  </si>
  <si>
    <t>FY 2011</t>
  </si>
  <si>
    <t>period ended</t>
  </si>
  <si>
    <t>Financial period</t>
  </si>
  <si>
    <t>Owners of the Company</t>
  </si>
  <si>
    <t>Period ended</t>
  </si>
  <si>
    <t>Financial Statements)</t>
  </si>
  <si>
    <t xml:space="preserve">statements for the financial year ended 30 June 2010 and the accompanying explanatory notes attached to the Interim </t>
  </si>
  <si>
    <t>Profit attributable to :</t>
  </si>
  <si>
    <t>Other comprehensive income</t>
  </si>
  <si>
    <t xml:space="preserve"> Total comprehensive income for the financial</t>
  </si>
  <si>
    <t xml:space="preserve">  period</t>
  </si>
  <si>
    <t>Available for sale investments</t>
  </si>
  <si>
    <t>Held to maturity investments</t>
  </si>
  <si>
    <t>Increase in monies held in trust</t>
  </si>
  <si>
    <t>Net cash used in financing activities</t>
  </si>
  <si>
    <t>Financial assets at fair value through profit or loss</t>
  </si>
  <si>
    <t>Cash generated from operations</t>
  </si>
  <si>
    <t>Net cash generated from operating activities</t>
  </si>
  <si>
    <t>CONDENSED CONSOLIDATED STATEMENTS OF FINANCIAL POSITION</t>
  </si>
  <si>
    <t>CONDENSED CONSOLIDATED INCOME STATEMENTS</t>
  </si>
  <si>
    <t>Gain on dilution of equity interest in subsidiary companies</t>
  </si>
  <si>
    <t xml:space="preserve">(The Condensed Consolidated Statements of Comprehensive Income should be read in conjunction with the audited financial statements for the </t>
  </si>
  <si>
    <t>CONDENSED CONSOLIDATED STATEMENTS OF COMPREHENSIVE INCOME</t>
  </si>
  <si>
    <t>Other comprehensive income/(loss)</t>
  </si>
  <si>
    <t xml:space="preserve">Total comprehensive income for the </t>
  </si>
  <si>
    <t xml:space="preserve">Dilution of equity interest </t>
  </si>
  <si>
    <t xml:space="preserve"> in subsidiary companies</t>
  </si>
  <si>
    <t>Proceeds from disposal of short term investments</t>
  </si>
  <si>
    <t>Net cash outflow from dilution of equity interest in subsidiary companies</t>
  </si>
  <si>
    <t>Available for</t>
  </si>
  <si>
    <t>sale investment</t>
  </si>
  <si>
    <t>- As previously reported</t>
  </si>
  <si>
    <t>- Adoption of FRS 139</t>
  </si>
  <si>
    <t>As restated</t>
  </si>
  <si>
    <t>fair value reserve</t>
  </si>
  <si>
    <t>Purchase of held to maturity investments</t>
  </si>
  <si>
    <t>Proceeds from disposal of available for sale investments</t>
  </si>
  <si>
    <t>Exchange translation reserve movement</t>
  </si>
  <si>
    <t>Total comprehensive income/</t>
  </si>
  <si>
    <t xml:space="preserve"> (loss) for the period</t>
  </si>
  <si>
    <t>Disposal of equity interest</t>
  </si>
  <si>
    <t xml:space="preserve"> in a subsidiary company</t>
  </si>
  <si>
    <t xml:space="preserve"> non-controlling interests</t>
  </si>
  <si>
    <t>Repayment of advances to</t>
  </si>
  <si>
    <t>Dividends paid to non-controlling</t>
  </si>
  <si>
    <t>Repayment of advances to non-controlling interests</t>
  </si>
  <si>
    <t>Dividends paid to non-controlling interests of subsidiary companies</t>
  </si>
  <si>
    <t xml:space="preserve">   value of quoted securities held for long term</t>
  </si>
  <si>
    <t>Proceeds from disposal of non-current assets held for sale</t>
  </si>
  <si>
    <t>Decrease/(increase) in fixed deposits pledged</t>
  </si>
  <si>
    <t>Decrease in cash and bank balances pledged</t>
  </si>
  <si>
    <t>Net increase/(decrease) in cash and cash equivalents</t>
  </si>
  <si>
    <t>Gain/(Loss) on disposal of quoted securities</t>
  </si>
  <si>
    <t xml:space="preserve">(The Condensed Consolidated Statements of Financial Position should be read in conjunction with the audited financial </t>
  </si>
  <si>
    <t>* Net assets per share attributable to owners of the Company is computed based on Total Shareholders' Funds</t>
  </si>
  <si>
    <t xml:space="preserve"> interests</t>
  </si>
  <si>
    <t>Tax paid</t>
  </si>
  <si>
    <t>Purchase of available for sale investments</t>
  </si>
  <si>
    <t>UNAUDITED FINANCIAL REPORT  FOR THE THIRD QUARTER AND 9 MONTHS PERIOD ENDED 31 MARCH 2011.</t>
  </si>
  <si>
    <t>31/3/2011</t>
  </si>
  <si>
    <t>UNAUDITED FINANCIAL REPORT FOR THE THIRD QUARTER AND 9 MONTHS PERIOD ENDED 31 MARCH 2011.</t>
  </si>
  <si>
    <t>31/3/2010</t>
  </si>
  <si>
    <t>Gain on disposal of investment properties</t>
  </si>
  <si>
    <t>31 MARCH 2011.</t>
  </si>
  <si>
    <t>Proceeds from disposal of investment properties</t>
  </si>
  <si>
    <t>Subscription of redeemable convertible preference shares in</t>
  </si>
  <si>
    <t xml:space="preserve"> a subsidiary company by non-controlling interest</t>
  </si>
  <si>
    <t>Period ended 31 March 2011</t>
  </si>
  <si>
    <t>Balance as at 31 March 2011</t>
  </si>
  <si>
    <t>Period ended 31 March 2010</t>
  </si>
  <si>
    <t>Balance as at 31 March 2010</t>
  </si>
  <si>
    <t>Foreign exchange loss on translation - unrealised</t>
  </si>
  <si>
    <t>Acquisition of equity interests</t>
  </si>
  <si>
    <t>Acquisition of equity interest in subsidary companies</t>
  </si>
  <si>
    <t>Net cash inflow from acquisition of equity interest in subsidiary companies</t>
  </si>
  <si>
    <t>Operating profit before working capital changes</t>
  </si>
  <si>
    <t xml:space="preserve">Writeback of allowance for diminution in </t>
  </si>
  <si>
    <t>Fair value changes on financial assets at fair value</t>
  </si>
  <si>
    <t xml:space="preserve">  through profit or loss</t>
  </si>
  <si>
    <t>Non-current assets</t>
  </si>
  <si>
    <t>Total Non-current assets</t>
  </si>
  <si>
    <t>Current assets</t>
  </si>
  <si>
    <t>Non-current assets classified as held for sale</t>
  </si>
  <si>
    <t>Equity attributable to owners of the Company</t>
  </si>
  <si>
    <t>Total equity</t>
  </si>
  <si>
    <t>Non-current liabilities</t>
  </si>
  <si>
    <t>Current liabilities</t>
  </si>
  <si>
    <t xml:space="preserve">   (excluding Non-controlling interests) divided by the total number of ordinary shares, net of shares bought back.</t>
  </si>
  <si>
    <t>&lt; ---------------------------------------- Attributable to Owners of the Company ---------------------------------------- &gt;</t>
  </si>
  <si>
    <t>Share dividends paid to owners</t>
  </si>
  <si>
    <t xml:space="preserve"> of the Company</t>
  </si>
  <si>
    <t>30 May 2011</t>
  </si>
  <si>
    <t>Included in Other operating expenses is the following item :-</t>
  </si>
  <si>
    <t>CONDENSED CONSOLIDATED STATEMENTS OF CHANGES IN EQUITY FOR THE THIRD QUARTER AND 9 MONTHS PERIOD ENDED 31 MARCH 2011.</t>
  </si>
  <si>
    <t>CONDENSED CONSOLIDATED STATEMENTS OF CASH FLOWS FOR THE THIRD QUARTER AND 9 MONTHS PERIOD ENDED</t>
  </si>
  <si>
    <t>Proceeds from redemption and disposal of held to maturity investments</t>
  </si>
  <si>
    <t>Profit for the quarter/period</t>
  </si>
  <si>
    <t>Net gain on available for sale investments</t>
  </si>
  <si>
    <t>- gain on fair value changes</t>
  </si>
  <si>
    <t>- transfer to profit or loss upon disposal</t>
  </si>
  <si>
    <t xml:space="preserve">Total other comprehensive income/(loss) for </t>
  </si>
  <si>
    <t xml:space="preserve"> the quarter/period</t>
  </si>
  <si>
    <t xml:space="preserve"> quarter/period</t>
  </si>
  <si>
    <t xml:space="preserve">(The Condensed Consolidated Statements of Changes in Equity should be read in conjunction with the audited financial statements for the financial year </t>
  </si>
  <si>
    <t>(The Condensed Consolidated Statements of Cash Flows should be read in conjunction with the audited financial statements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</si>
</sst>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  <numFmt numFmtId="169" formatCode="mmmm\ d\,\ yyyy"/>
    <numFmt numFmtId="170" formatCode="0.0000"/>
    <numFmt numFmtId="171" formatCode="0.000"/>
    <numFmt numFmtId="172" formatCode="mm/dd/yy"/>
    <numFmt numFmtId="173" formatCode="0_);[Red]\(0\)"/>
    <numFmt numFmtId="174" formatCode="0.00_);\(0.00\)"/>
    <numFmt numFmtId="175" formatCode="[$-409]h:mm:ss\ AM/PM"/>
  </numFmts>
  <fonts count="9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Arial"/>
      <family val="2"/>
    </font>
    <font>
      <b/>
      <u val="singleAccounting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166" fontId="0" fillId="0" borderId="0" xfId="15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>
      <alignment/>
    </xf>
    <xf numFmtId="166" fontId="0" fillId="0" borderId="0" xfId="15" applyNumberFormat="1" applyFont="1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39" fontId="0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9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9" fontId="3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3" xfId="0" applyFont="1" applyBorder="1" applyAlignment="1">
      <alignment/>
    </xf>
    <xf numFmtId="15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 quotePrefix="1">
      <alignment horizontal="left"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Border="1" applyAlignment="1">
      <alignment/>
    </xf>
    <xf numFmtId="166" fontId="0" fillId="0" borderId="4" xfId="15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0" xfId="15" applyNumberFormat="1" applyFont="1" applyAlignment="1" quotePrefix="1">
      <alignment/>
    </xf>
    <xf numFmtId="166" fontId="0" fillId="0" borderId="5" xfId="15" applyNumberFormat="1" applyBorder="1" applyAlignment="1">
      <alignment/>
    </xf>
    <xf numFmtId="166" fontId="0" fillId="0" borderId="6" xfId="15" applyNumberFormat="1" applyBorder="1" applyAlignment="1">
      <alignment/>
    </xf>
    <xf numFmtId="166" fontId="0" fillId="0" borderId="7" xfId="15" applyNumberFormat="1" applyBorder="1" applyAlignment="1">
      <alignment/>
    </xf>
    <xf numFmtId="0" fontId="0" fillId="0" borderId="0" xfId="0" applyAlignment="1" quotePrefix="1">
      <alignment horizontal="left"/>
    </xf>
    <xf numFmtId="166" fontId="0" fillId="0" borderId="2" xfId="15" applyNumberFormat="1" applyBorder="1" applyAlignment="1">
      <alignment/>
    </xf>
    <xf numFmtId="166" fontId="2" fillId="0" borderId="0" xfId="15" applyNumberFormat="1" applyFont="1" applyAlignment="1" quotePrefix="1">
      <alignment horizontal="left"/>
    </xf>
    <xf numFmtId="0" fontId="2" fillId="0" borderId="3" xfId="0" applyFont="1" applyBorder="1" applyAlignment="1" quotePrefix="1">
      <alignment horizontal="left"/>
    </xf>
    <xf numFmtId="39" fontId="2" fillId="0" borderId="3" xfId="0" applyNumberFormat="1" applyFont="1" applyBorder="1" applyAlignment="1" quotePrefix="1">
      <alignment horizontal="left"/>
    </xf>
    <xf numFmtId="39" fontId="2" fillId="0" borderId="0" xfId="0" applyNumberFormat="1" applyFont="1" applyAlignment="1" quotePrefix="1">
      <alignment horizontal="left"/>
    </xf>
    <xf numFmtId="166" fontId="0" fillId="0" borderId="0" xfId="15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15" fontId="2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66" fontId="0" fillId="0" borderId="8" xfId="15" applyNumberFormat="1" applyBorder="1" applyAlignment="1">
      <alignment/>
    </xf>
    <xf numFmtId="43" fontId="0" fillId="0" borderId="4" xfId="15" applyNumberFormat="1" applyBorder="1" applyAlignment="1">
      <alignment/>
    </xf>
    <xf numFmtId="15" fontId="2" fillId="0" borderId="0" xfId="0" applyNumberFormat="1" applyFont="1" applyBorder="1" applyAlignment="1">
      <alignment horizontal="center"/>
    </xf>
    <xf numFmtId="15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166" fontId="0" fillId="0" borderId="0" xfId="15" applyNumberFormat="1" applyFont="1" applyAlignment="1">
      <alignment/>
    </xf>
    <xf numFmtId="43" fontId="0" fillId="0" borderId="0" xfId="15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0" xfId="15" applyNumberFormat="1" applyFont="1" applyAlignment="1" quotePrefix="1">
      <alignment horizontal="center"/>
    </xf>
    <xf numFmtId="15" fontId="0" fillId="0" borderId="0" xfId="0" applyNumberFormat="1" applyFont="1" applyAlignment="1" quotePrefix="1">
      <alignment horizontal="center"/>
    </xf>
    <xf numFmtId="166" fontId="2" fillId="0" borderId="0" xfId="15" applyNumberFormat="1" applyFont="1" applyAlignment="1" quotePrefix="1">
      <alignment horizontal="center"/>
    </xf>
    <xf numFmtId="15" fontId="2" fillId="0" borderId="0" xfId="0" applyNumberFormat="1" applyFont="1" applyAlignment="1" quotePrefix="1">
      <alignment horizontal="left"/>
    </xf>
    <xf numFmtId="0" fontId="2" fillId="0" borderId="4" xfId="0" applyFont="1" applyBorder="1" applyAlignment="1" quotePrefix="1">
      <alignment horizontal="center"/>
    </xf>
    <xf numFmtId="15" fontId="2" fillId="0" borderId="4" xfId="0" applyNumberFormat="1" applyFont="1" applyBorder="1" applyAlignment="1" quotePrefix="1">
      <alignment horizontal="center"/>
    </xf>
    <xf numFmtId="166" fontId="0" fillId="0" borderId="0" xfId="0" applyNumberFormat="1" applyBorder="1" applyAlignment="1">
      <alignment/>
    </xf>
    <xf numFmtId="166" fontId="0" fillId="0" borderId="4" xfId="15" applyNumberFormat="1" applyFont="1" applyBorder="1" applyAlignment="1">
      <alignment/>
    </xf>
    <xf numFmtId="0" fontId="0" fillId="0" borderId="0" xfId="0" applyAlignment="1">
      <alignment horizontal="center"/>
    </xf>
    <xf numFmtId="166" fontId="0" fillId="0" borderId="9" xfId="15" applyNumberFormat="1" applyBorder="1" applyAlignment="1">
      <alignment/>
    </xf>
    <xf numFmtId="166" fontId="0" fillId="0" borderId="4" xfId="15" applyNumberFormat="1" applyBorder="1" applyAlignment="1">
      <alignment horizontal="right"/>
    </xf>
    <xf numFmtId="38" fontId="0" fillId="0" borderId="6" xfId="0" applyNumberFormat="1" applyFont="1" applyBorder="1" applyAlignment="1">
      <alignment/>
    </xf>
    <xf numFmtId="166" fontId="0" fillId="0" borderId="0" xfId="15" applyNumberFormat="1" applyFont="1" applyAlignment="1">
      <alignment horizontal="left"/>
    </xf>
    <xf numFmtId="38" fontId="0" fillId="0" borderId="9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39" fontId="2" fillId="0" borderId="0" xfId="0" applyNumberFormat="1" applyFont="1" applyAlignment="1">
      <alignment horizontal="left"/>
    </xf>
    <xf numFmtId="3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66" fontId="0" fillId="0" borderId="10" xfId="15" applyNumberFormat="1" applyBorder="1" applyAlignment="1">
      <alignment/>
    </xf>
    <xf numFmtId="0" fontId="0" fillId="0" borderId="0" xfId="0" applyFont="1" applyBorder="1" applyAlignment="1">
      <alignment/>
    </xf>
    <xf numFmtId="37" fontId="2" fillId="0" borderId="0" xfId="0" applyNumberFormat="1" applyFont="1" applyAlignment="1">
      <alignment/>
    </xf>
    <xf numFmtId="43" fontId="0" fillId="0" borderId="4" xfId="15" applyNumberFormat="1" applyFont="1" applyBorder="1" applyAlignment="1">
      <alignment/>
    </xf>
    <xf numFmtId="169" fontId="2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8" fontId="0" fillId="0" borderId="0" xfId="0" applyNumberFormat="1" applyFont="1" applyAlignment="1">
      <alignment horizontal="center"/>
    </xf>
    <xf numFmtId="166" fontId="0" fillId="0" borderId="0" xfId="15" applyNumberFormat="1" applyFont="1" applyAlignment="1">
      <alignment/>
    </xf>
    <xf numFmtId="0" fontId="2" fillId="0" borderId="0" xfId="0" applyFont="1" applyFill="1" applyBorder="1" applyAlignment="1" quotePrefix="1">
      <alignment horizontal="center"/>
    </xf>
    <xf numFmtId="174" fontId="0" fillId="0" borderId="4" xfId="15" applyNumberFormat="1" applyBorder="1" applyAlignment="1">
      <alignment/>
    </xf>
    <xf numFmtId="174" fontId="0" fillId="0" borderId="5" xfId="15" applyNumberFormat="1" applyBorder="1" applyAlignment="1">
      <alignment/>
    </xf>
    <xf numFmtId="166" fontId="2" fillId="0" borderId="0" xfId="15" applyNumberFormat="1" applyFont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 quotePrefix="1">
      <alignment/>
    </xf>
    <xf numFmtId="39" fontId="2" fillId="0" borderId="0" xfId="0" applyNumberFormat="1" applyFont="1" applyAlignment="1" quotePrefix="1">
      <alignment/>
    </xf>
    <xf numFmtId="166" fontId="0" fillId="0" borderId="4" xfId="15" applyNumberFormat="1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/>
    </xf>
    <xf numFmtId="39" fontId="3" fillId="0" borderId="0" xfId="0" applyNumberFormat="1" applyFont="1" applyAlignment="1" quotePrefix="1">
      <alignment/>
    </xf>
    <xf numFmtId="38" fontId="0" fillId="0" borderId="2" xfId="0" applyNumberFormat="1" applyFont="1" applyFill="1" applyBorder="1" applyAlignment="1">
      <alignment/>
    </xf>
    <xf numFmtId="38" fontId="0" fillId="0" borderId="9" xfId="0" applyNumberFormat="1" applyFont="1" applyFill="1" applyBorder="1" applyAlignment="1">
      <alignment/>
    </xf>
    <xf numFmtId="38" fontId="0" fillId="0" borderId="6" xfId="0" applyNumberFormat="1" applyFont="1" applyFill="1" applyBorder="1" applyAlignment="1">
      <alignment/>
    </xf>
    <xf numFmtId="166" fontId="0" fillId="0" borderId="0" xfId="15" applyNumberFormat="1" applyFill="1" applyAlignment="1">
      <alignment/>
    </xf>
    <xf numFmtId="38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 quotePrefix="1">
      <alignment horizontal="center"/>
    </xf>
    <xf numFmtId="38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8" fontId="0" fillId="0" borderId="1" xfId="0" applyNumberFormat="1" applyFont="1" applyFill="1" applyBorder="1" applyAlignment="1">
      <alignment/>
    </xf>
    <xf numFmtId="166" fontId="0" fillId="0" borderId="0" xfId="15" applyNumberFormat="1" applyFont="1" applyFill="1" applyBorder="1" applyAlignment="1">
      <alignment/>
    </xf>
    <xf numFmtId="43" fontId="0" fillId="0" borderId="0" xfId="15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0" fillId="0" borderId="0" xfId="0" applyFill="1" applyAlignment="1" quotePrefix="1">
      <alignment horizontal="left"/>
    </xf>
    <xf numFmtId="166" fontId="0" fillId="0" borderId="7" xfId="15" applyNumberFormat="1" applyFill="1" applyBorder="1" applyAlignment="1">
      <alignment/>
    </xf>
    <xf numFmtId="0" fontId="2" fillId="0" borderId="0" xfId="0" applyFont="1" applyFill="1" applyAlignment="1" quotePrefix="1">
      <alignment horizontal="center"/>
    </xf>
    <xf numFmtId="166" fontId="0" fillId="0" borderId="6" xfId="15" applyNumberFormat="1" applyFill="1" applyBorder="1" applyAlignment="1">
      <alignment/>
    </xf>
    <xf numFmtId="166" fontId="0" fillId="0" borderId="2" xfId="15" applyNumberForma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15" fontId="2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6" fontId="2" fillId="0" borderId="11" xfId="15" applyNumberFormat="1" applyFont="1" applyFill="1" applyBorder="1" applyAlignment="1">
      <alignment/>
    </xf>
    <xf numFmtId="166" fontId="2" fillId="0" borderId="12" xfId="15" applyNumberFormat="1" applyFont="1" applyFill="1" applyBorder="1" applyAlignment="1">
      <alignment/>
    </xf>
    <xf numFmtId="166" fontId="2" fillId="0" borderId="13" xfId="15" applyNumberFormat="1" applyFont="1" applyFill="1" applyBorder="1" applyAlignment="1">
      <alignment/>
    </xf>
    <xf numFmtId="166" fontId="2" fillId="0" borderId="14" xfId="15" applyNumberFormat="1" applyFont="1" applyFill="1" applyBorder="1" applyAlignment="1">
      <alignment/>
    </xf>
    <xf numFmtId="39" fontId="2" fillId="0" borderId="11" xfId="15" applyNumberFormat="1" applyFont="1" applyFill="1" applyBorder="1" applyAlignment="1">
      <alignment/>
    </xf>
    <xf numFmtId="39" fontId="2" fillId="0" borderId="11" xfId="15" applyNumberFormat="1" applyFont="1" applyFill="1" applyBorder="1" applyAlignment="1">
      <alignment horizontal="right"/>
    </xf>
    <xf numFmtId="166" fontId="2" fillId="0" borderId="9" xfId="15" applyNumberFormat="1" applyFont="1" applyFill="1" applyBorder="1" applyAlignment="1">
      <alignment/>
    </xf>
    <xf numFmtId="166" fontId="2" fillId="0" borderId="0" xfId="15" applyNumberFormat="1" applyFont="1" applyFill="1" applyAlignment="1">
      <alignment/>
    </xf>
    <xf numFmtId="166" fontId="2" fillId="0" borderId="0" xfId="15" applyNumberFormat="1" applyFont="1" applyFill="1" applyAlignment="1">
      <alignment horizontal="center"/>
    </xf>
    <xf numFmtId="166" fontId="2" fillId="0" borderId="0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43" fontId="2" fillId="0" borderId="11" xfId="15" applyNumberFormat="1" applyFont="1" applyFill="1" applyBorder="1" applyAlignment="1">
      <alignment/>
    </xf>
    <xf numFmtId="43" fontId="2" fillId="0" borderId="11" xfId="15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66" fontId="2" fillId="0" borderId="0" xfId="15" applyNumberFormat="1" applyFont="1" applyFill="1" applyAlignment="1" quotePrefix="1">
      <alignment horizontal="center"/>
    </xf>
    <xf numFmtId="166" fontId="0" fillId="0" borderId="0" xfId="0" applyNumberFormat="1" applyFont="1" applyFill="1" applyBorder="1" applyAlignment="1">
      <alignment horizontal="left"/>
    </xf>
    <xf numFmtId="43" fontId="0" fillId="0" borderId="4" xfId="15" applyNumberFormat="1" applyFont="1" applyBorder="1" applyAlignment="1">
      <alignment horizontal="right"/>
    </xf>
    <xf numFmtId="37" fontId="0" fillId="0" borderId="0" xfId="15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2" xfId="0" applyNumberFormat="1" applyFont="1" applyBorder="1" applyAlignment="1">
      <alignment/>
    </xf>
    <xf numFmtId="38" fontId="0" fillId="0" borderId="15" xfId="0" applyNumberFormat="1" applyFont="1" applyBorder="1" applyAlignment="1">
      <alignment/>
    </xf>
    <xf numFmtId="38" fontId="0" fillId="0" borderId="15" xfId="0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166" fontId="2" fillId="0" borderId="16" xfId="15" applyNumberFormat="1" applyFont="1" applyFill="1" applyBorder="1" applyAlignment="1">
      <alignment/>
    </xf>
    <xf numFmtId="166" fontId="0" fillId="0" borderId="17" xfId="15" applyNumberFormat="1" applyBorder="1" applyAlignment="1">
      <alignment/>
    </xf>
    <xf numFmtId="37" fontId="0" fillId="0" borderId="0" xfId="0" applyNumberFormat="1" applyFont="1" applyFill="1" applyAlignment="1">
      <alignment/>
    </xf>
    <xf numFmtId="166" fontId="7" fillId="0" borderId="0" xfId="15" applyNumberFormat="1" applyFont="1" applyAlignment="1">
      <alignment/>
    </xf>
    <xf numFmtId="166" fontId="2" fillId="0" borderId="0" xfId="15" applyNumberFormat="1" applyFont="1" applyFill="1" applyBorder="1" applyAlignment="1">
      <alignment horizontal="center"/>
    </xf>
    <xf numFmtId="166" fontId="0" fillId="0" borderId="0" xfId="15" applyNumberFormat="1" applyFont="1" applyBorder="1" applyAlignment="1">
      <alignment horizontal="center"/>
    </xf>
    <xf numFmtId="166" fontId="0" fillId="0" borderId="9" xfId="15" applyNumberFormat="1" applyFont="1" applyBorder="1" applyAlignment="1">
      <alignment/>
    </xf>
    <xf numFmtId="166" fontId="0" fillId="0" borderId="17" xfId="15" applyNumberFormat="1" applyFont="1" applyBorder="1" applyAlignment="1">
      <alignment/>
    </xf>
    <xf numFmtId="166" fontId="0" fillId="0" borderId="5" xfId="15" applyNumberFormat="1" applyFont="1" applyBorder="1" applyAlignment="1">
      <alignment/>
    </xf>
    <xf numFmtId="166" fontId="0" fillId="0" borderId="0" xfId="15" applyNumberFormat="1" applyFont="1" applyFill="1" applyAlignment="1">
      <alignment/>
    </xf>
    <xf numFmtId="37" fontId="2" fillId="0" borderId="11" xfId="15" applyNumberFormat="1" applyFont="1" applyFill="1" applyBorder="1" applyAlignment="1">
      <alignment/>
    </xf>
    <xf numFmtId="166" fontId="2" fillId="0" borderId="9" xfId="15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/>
    </xf>
    <xf numFmtId="166" fontId="8" fillId="0" borderId="0" xfId="15" applyNumberFormat="1" applyFont="1" applyAlignment="1" quotePrefix="1">
      <alignment horizontal="left"/>
    </xf>
    <xf numFmtId="166" fontId="8" fillId="0" borderId="0" xfId="15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39" fontId="3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 horizontal="center"/>
    </xf>
    <xf numFmtId="39" fontId="3" fillId="0" borderId="0" xfId="0" applyNumberFormat="1" applyFont="1" applyAlignment="1" quotePrefix="1">
      <alignment horizontal="center"/>
    </xf>
    <xf numFmtId="39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  <xf numFmtId="166" fontId="2" fillId="0" borderId="0" xfId="15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dell%20d\My%20Documents\winnie\con032011\info%20-%20disposal%20of%20sha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dell%20d\My%20Documents\winnie\con032011\Con0311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dell%20d\My%20Documents\winnie\con032011\Fundfl03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dell%20d\My%20Documents\winnie\con032011\Eps03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MS trades"/>
      <sheetName val="Sheet3"/>
    </sheetNames>
    <sheetDataSet>
      <sheetData sheetId="1">
        <row r="49">
          <cell r="E49">
            <v>459.1806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RP&amp;L"/>
      <sheetName val="MRYTD"/>
      <sheetName val="MRDIV"/>
      <sheetName val="MRSumm"/>
      <sheetName val="Analysis of forexc IS"/>
      <sheetName val="forexc IS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Equity acctg for inv in JCE"/>
      <sheetName val="RPT"/>
      <sheetName val="Conso Notes to accts"/>
      <sheetName val="Analysis of staff costs "/>
      <sheetName val="Project interest recognised"/>
      <sheetName val="MINORITY.XLS"/>
      <sheetName val="Goodwill"/>
      <sheetName val="IP-DirectOE"/>
    </sheetNames>
    <sheetDataSet>
      <sheetData sheetId="1">
        <row r="208">
          <cell r="W208">
            <v>726</v>
          </cell>
        </row>
      </sheetData>
      <sheetData sheetId="10">
        <row r="10">
          <cell r="V10">
            <v>33198.46142287</v>
          </cell>
        </row>
        <row r="16">
          <cell r="V16">
            <v>40299.74903381563</v>
          </cell>
        </row>
        <row r="20">
          <cell r="V20">
            <v>24660.0889365</v>
          </cell>
        </row>
        <row r="23">
          <cell r="V23">
            <v>3201</v>
          </cell>
        </row>
        <row r="24">
          <cell r="V24">
            <v>41562</v>
          </cell>
        </row>
        <row r="25">
          <cell r="V25">
            <v>0</v>
          </cell>
        </row>
        <row r="28">
          <cell r="V28">
            <v>18396.24081</v>
          </cell>
        </row>
        <row r="30">
          <cell r="V30">
            <v>37576</v>
          </cell>
        </row>
        <row r="32">
          <cell r="V32">
            <v>57796.748600000006</v>
          </cell>
        </row>
        <row r="37">
          <cell r="V37">
            <v>3424</v>
          </cell>
        </row>
        <row r="40">
          <cell r="V40">
            <v>168475.425609681</v>
          </cell>
        </row>
        <row r="42">
          <cell r="V42">
            <v>31527.140460614006</v>
          </cell>
        </row>
        <row r="45">
          <cell r="V45">
            <v>5073.78543</v>
          </cell>
        </row>
        <row r="46">
          <cell r="V46">
            <v>2598.324249999999</v>
          </cell>
        </row>
        <row r="47">
          <cell r="V47">
            <v>37131.92875</v>
          </cell>
        </row>
        <row r="48">
          <cell r="V48">
            <v>47188</v>
          </cell>
        </row>
        <row r="50">
          <cell r="V50">
            <v>14037.9898</v>
          </cell>
        </row>
        <row r="51">
          <cell r="V51">
            <v>86720.9584</v>
          </cell>
        </row>
        <row r="62">
          <cell r="V62">
            <v>0</v>
          </cell>
        </row>
        <row r="63">
          <cell r="V63">
            <v>19963.528388616047</v>
          </cell>
        </row>
        <row r="64">
          <cell r="V64">
            <v>274469.81421026704</v>
          </cell>
        </row>
        <row r="65">
          <cell r="V65">
            <v>207594.1994</v>
          </cell>
        </row>
        <row r="66">
          <cell r="V66">
            <v>53924.372997765</v>
          </cell>
        </row>
        <row r="67">
          <cell r="V67">
            <v>7993</v>
          </cell>
        </row>
        <row r="71">
          <cell r="V71">
            <v>221030.24864221</v>
          </cell>
        </row>
        <row r="72">
          <cell r="V72">
            <v>0</v>
          </cell>
        </row>
        <row r="73">
          <cell r="V73">
            <v>16908.420274623997</v>
          </cell>
        </row>
        <row r="75">
          <cell r="V75">
            <v>4329</v>
          </cell>
        </row>
        <row r="79">
          <cell r="V79">
            <v>1153.450957347</v>
          </cell>
        </row>
        <row r="80">
          <cell r="V80">
            <v>1</v>
          </cell>
        </row>
        <row r="82">
          <cell r="V82">
            <v>73956.8285</v>
          </cell>
        </row>
        <row r="83">
          <cell r="V83">
            <v>44</v>
          </cell>
        </row>
        <row r="84">
          <cell r="V84">
            <v>883</v>
          </cell>
        </row>
        <row r="90">
          <cell r="V90">
            <v>1.7993799999999862</v>
          </cell>
        </row>
        <row r="95">
          <cell r="V95">
            <v>693334.1183726199</v>
          </cell>
        </row>
        <row r="98">
          <cell r="V98">
            <v>15409</v>
          </cell>
        </row>
        <row r="99">
          <cell r="V99">
            <v>54488.45721</v>
          </cell>
        </row>
        <row r="102">
          <cell r="V102">
            <v>1199</v>
          </cell>
        </row>
        <row r="103">
          <cell r="V103">
            <v>-4242</v>
          </cell>
        </row>
        <row r="104">
          <cell r="V104">
            <v>-1596.470362780312</v>
          </cell>
        </row>
        <row r="119">
          <cell r="V119">
            <v>122558.57670291605</v>
          </cell>
        </row>
        <row r="121">
          <cell r="V121">
            <v>9437.196248238246</v>
          </cell>
        </row>
        <row r="128">
          <cell r="V128">
            <v>373.48536407700016</v>
          </cell>
        </row>
        <row r="129">
          <cell r="V129">
            <v>0</v>
          </cell>
        </row>
        <row r="131">
          <cell r="V131">
            <v>7544</v>
          </cell>
        </row>
        <row r="186">
          <cell r="V186">
            <v>179597.51939216992</v>
          </cell>
        </row>
        <row r="246">
          <cell r="V246">
            <v>284.74460062378694</v>
          </cell>
        </row>
        <row r="247">
          <cell r="V247">
            <v>9056.808938632512</v>
          </cell>
        </row>
        <row r="249">
          <cell r="V249">
            <v>538.4689365</v>
          </cell>
        </row>
        <row r="251">
          <cell r="V251">
            <v>-1842.7064273739998</v>
          </cell>
        </row>
        <row r="259">
          <cell r="V259">
            <v>-223.99707539137455</v>
          </cell>
        </row>
        <row r="613">
          <cell r="O613">
            <v>56087.096795770005</v>
          </cell>
        </row>
        <row r="694">
          <cell r="Q694">
            <v>15683.530867189866</v>
          </cell>
        </row>
        <row r="705">
          <cell r="Q705">
            <v>122781.06284</v>
          </cell>
        </row>
        <row r="706">
          <cell r="Q706">
            <v>23.995330000000003</v>
          </cell>
        </row>
        <row r="708">
          <cell r="Q708">
            <v>10023.769040169998</v>
          </cell>
        </row>
        <row r="712">
          <cell r="Q712">
            <v>28791.66459652</v>
          </cell>
        </row>
        <row r="718">
          <cell r="Q718">
            <v>3537.3810399999993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PE"/>
      <sheetName val="prov tax &amp; def tax"/>
      <sheetName val="loan"/>
      <sheetName val="Defer exp &amp; prepaid land lease"/>
      <sheetName val="assoco"/>
      <sheetName val="mi&amp;gw"/>
      <sheetName val="Sheet7"/>
      <sheetName val="summary"/>
      <sheetName val="cashflow"/>
      <sheetName val="LTI &amp; JCE"/>
      <sheetName val="mktsec&amp;ST investment"/>
      <sheetName val="HP"/>
      <sheetName val="L&amp;d"/>
      <sheetName val="dividend"/>
      <sheetName val="overdraft"/>
      <sheetName val="Disposal-FY10"/>
      <sheetName val="Deem disposal - MHSB"/>
      <sheetName val="Deem disposal - II"/>
      <sheetName val="InvProp&amp;Intangible"/>
      <sheetName val="cash flow (co)"/>
      <sheetName val="Acq in FY06"/>
      <sheetName val="Acq in FY11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</sheetNames>
    <sheetDataSet>
      <sheetData sheetId="5">
        <row r="9">
          <cell r="J9">
            <v>12044.197588199999</v>
          </cell>
        </row>
      </sheetData>
      <sheetData sheetId="8">
        <row r="46">
          <cell r="G46">
            <v>3537.3810399999993</v>
          </cell>
        </row>
        <row r="47">
          <cell r="G47">
            <v>-7004.414427280999</v>
          </cell>
        </row>
        <row r="51">
          <cell r="I51">
            <v>-48899.924291623305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547.7146239494514</v>
          </cell>
        </row>
        <row r="58">
          <cell r="G58">
            <v>0</v>
          </cell>
        </row>
        <row r="59">
          <cell r="G59">
            <v>-2729.240911110999</v>
          </cell>
        </row>
        <row r="60">
          <cell r="G60">
            <v>883.0000000000002</v>
          </cell>
        </row>
        <row r="61">
          <cell r="G61">
            <v>1353.748184864997</v>
          </cell>
        </row>
        <row r="62">
          <cell r="G62">
            <v>-15214.829780000002</v>
          </cell>
        </row>
        <row r="63">
          <cell r="G63">
            <v>5918</v>
          </cell>
        </row>
        <row r="64">
          <cell r="G64">
            <v>32469.222646474493</v>
          </cell>
        </row>
        <row r="65">
          <cell r="G65">
            <v>0</v>
          </cell>
        </row>
        <row r="69">
          <cell r="G69">
            <v>7004.414427280999</v>
          </cell>
        </row>
        <row r="70">
          <cell r="G70">
            <v>-3537.3810399999993</v>
          </cell>
        </row>
        <row r="71">
          <cell r="G71">
            <v>-929.819244493</v>
          </cell>
        </row>
        <row r="77">
          <cell r="G77">
            <v>-2020</v>
          </cell>
        </row>
        <row r="78">
          <cell r="G78">
            <v>0</v>
          </cell>
        </row>
        <row r="79">
          <cell r="G79">
            <v>-2653.2982495170004</v>
          </cell>
        </row>
        <row r="80">
          <cell r="G80">
            <v>936.537283597999</v>
          </cell>
        </row>
        <row r="81">
          <cell r="G81">
            <v>-0.7947099999999947</v>
          </cell>
        </row>
        <row r="82">
          <cell r="G82">
            <v>-13.065779999999998</v>
          </cell>
        </row>
        <row r="85">
          <cell r="G85">
            <v>-12863.562555381</v>
          </cell>
        </row>
        <row r="86">
          <cell r="G86">
            <v>1649.6865500000001</v>
          </cell>
        </row>
        <row r="87">
          <cell r="G87">
            <v>4254.381383641601</v>
          </cell>
        </row>
        <row r="89">
          <cell r="G89">
            <v>6892</v>
          </cell>
        </row>
        <row r="90">
          <cell r="G90">
            <v>13169.935586358404</v>
          </cell>
        </row>
        <row r="92">
          <cell r="G92">
            <v>1867.1660800000002</v>
          </cell>
        </row>
        <row r="94">
          <cell r="G94">
            <v>-637.95273</v>
          </cell>
        </row>
        <row r="95">
          <cell r="G95">
            <v>378.27126</v>
          </cell>
        </row>
        <row r="96">
          <cell r="G96">
            <v>1598.1141099999995</v>
          </cell>
        </row>
        <row r="101">
          <cell r="G101">
            <v>-21577.136949999986</v>
          </cell>
        </row>
        <row r="102">
          <cell r="G102">
            <v>90763.330245602</v>
          </cell>
        </row>
        <row r="103">
          <cell r="G103">
            <v>14624</v>
          </cell>
        </row>
        <row r="104">
          <cell r="G104">
            <v>-3533.0095890000002</v>
          </cell>
        </row>
        <row r="105">
          <cell r="G105">
            <v>400568.691849224</v>
          </cell>
        </row>
        <row r="106">
          <cell r="G106">
            <v>-510048.13682922407</v>
          </cell>
        </row>
        <row r="107">
          <cell r="G107">
            <v>-1279</v>
          </cell>
        </row>
        <row r="118">
          <cell r="G118">
            <v>-293.7392894505028</v>
          </cell>
        </row>
        <row r="125">
          <cell r="G125">
            <v>46939.288577765</v>
          </cell>
        </row>
        <row r="126">
          <cell r="G126">
            <v>142188.34385586908</v>
          </cell>
        </row>
        <row r="127">
          <cell r="G127">
            <v>-883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Chart1"/>
      <sheetName val="Sept10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38">
          <cell r="C38">
            <v>684785.848</v>
          </cell>
        </row>
        <row r="58">
          <cell r="C58">
            <v>9.131945776674234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zoomScale="75" zoomScaleNormal="75" workbookViewId="0" topLeftCell="A50">
      <selection activeCell="G71" sqref="G71"/>
    </sheetView>
  </sheetViews>
  <sheetFormatPr defaultColWidth="9.140625" defaultRowHeight="12.75"/>
  <cols>
    <col min="1" max="1" width="6.7109375" style="0" customWidth="1"/>
    <col min="2" max="2" width="10.7109375" style="0" customWidth="1"/>
    <col min="6" max="6" width="5.7109375" style="0" customWidth="1"/>
    <col min="7" max="7" width="16.7109375" style="0" customWidth="1"/>
    <col min="9" max="9" width="21.7109375" style="0" customWidth="1"/>
    <col min="10" max="10" width="12.7109375" style="0" customWidth="1"/>
  </cols>
  <sheetData>
    <row r="1" spans="1:10" ht="15.7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98"/>
    </row>
    <row r="2" spans="1:10" ht="12.75">
      <c r="A2" s="181" t="s">
        <v>19</v>
      </c>
      <c r="B2" s="181"/>
      <c r="C2" s="181"/>
      <c r="D2" s="181"/>
      <c r="E2" s="181"/>
      <c r="F2" s="181"/>
      <c r="G2" s="181"/>
      <c r="H2" s="181"/>
      <c r="I2" s="181"/>
      <c r="J2" s="98"/>
    </row>
    <row r="3" spans="1:10" ht="12.75">
      <c r="A3" s="181" t="s">
        <v>20</v>
      </c>
      <c r="B3" s="181"/>
      <c r="C3" s="181"/>
      <c r="D3" s="181"/>
      <c r="E3" s="181"/>
      <c r="F3" s="181"/>
      <c r="G3" s="181"/>
      <c r="H3" s="181"/>
      <c r="I3" s="181"/>
      <c r="J3" s="26"/>
    </row>
    <row r="4" spans="1:10" ht="12.75">
      <c r="A4" s="36"/>
      <c r="B4" s="36"/>
      <c r="C4" s="36"/>
      <c r="D4" s="36"/>
      <c r="E4" s="36"/>
      <c r="F4" s="36"/>
      <c r="G4" s="36"/>
      <c r="H4" s="36"/>
      <c r="I4" s="36"/>
      <c r="J4" s="93"/>
    </row>
    <row r="5" spans="1:11" ht="13.5" thickBot="1">
      <c r="A5" s="55" t="s">
        <v>205</v>
      </c>
      <c r="B5" s="37"/>
      <c r="C5" s="37"/>
      <c r="D5" s="37"/>
      <c r="E5" s="37"/>
      <c r="F5" s="37"/>
      <c r="G5" s="37"/>
      <c r="H5" s="37"/>
      <c r="I5" s="37"/>
      <c r="J5" s="38"/>
      <c r="K5" s="20"/>
    </row>
    <row r="6" spans="1:10" ht="15.75">
      <c r="A6" s="30"/>
      <c r="B6" s="28"/>
      <c r="C6" s="25"/>
      <c r="D6" s="26"/>
      <c r="E6" s="26"/>
      <c r="F6" s="26"/>
      <c r="G6" s="29"/>
      <c r="H6" s="29"/>
      <c r="I6" s="29"/>
      <c r="J6" s="93"/>
    </row>
    <row r="7" spans="1:10" ht="15.75">
      <c r="A7" s="35" t="s">
        <v>165</v>
      </c>
      <c r="B7" s="28"/>
      <c r="C7" s="25"/>
      <c r="D7" s="26"/>
      <c r="E7" s="26"/>
      <c r="F7" s="26"/>
      <c r="G7" s="118"/>
      <c r="H7" s="29"/>
      <c r="I7" s="99"/>
      <c r="J7" s="93"/>
    </row>
    <row r="8" spans="1:9" ht="12.75">
      <c r="A8" s="6"/>
      <c r="B8" s="7"/>
      <c r="C8" s="8"/>
      <c r="D8" s="9"/>
      <c r="E8" s="9"/>
      <c r="F8" s="9"/>
      <c r="G8" s="119"/>
      <c r="H8" s="10"/>
      <c r="I8" s="21" t="s">
        <v>52</v>
      </c>
    </row>
    <row r="9" spans="1:9" ht="12.75">
      <c r="A9" s="9"/>
      <c r="B9" s="8"/>
      <c r="C9" s="8"/>
      <c r="D9" s="9"/>
      <c r="E9" s="9"/>
      <c r="F9" s="9"/>
      <c r="G9" s="119"/>
      <c r="H9" s="10"/>
      <c r="I9" s="21" t="s">
        <v>10</v>
      </c>
    </row>
    <row r="10" spans="1:9" ht="12.75">
      <c r="A10" s="9"/>
      <c r="B10" s="8"/>
      <c r="C10" s="8"/>
      <c r="D10" s="9"/>
      <c r="E10" s="9"/>
      <c r="F10" s="9"/>
      <c r="G10" s="119" t="s">
        <v>9</v>
      </c>
      <c r="H10" s="10"/>
      <c r="I10" s="66" t="s">
        <v>51</v>
      </c>
    </row>
    <row r="11" spans="1:9" ht="12.75">
      <c r="A11" s="9"/>
      <c r="B11" s="8"/>
      <c r="C11" s="8"/>
      <c r="D11" s="9"/>
      <c r="E11" s="9"/>
      <c r="F11" s="9"/>
      <c r="G11" s="120" t="s">
        <v>206</v>
      </c>
      <c r="H11" s="2"/>
      <c r="I11" s="64" t="s">
        <v>131</v>
      </c>
    </row>
    <row r="12" spans="1:9" ht="12.75">
      <c r="A12" s="9"/>
      <c r="B12" s="8"/>
      <c r="C12" s="8"/>
      <c r="D12" s="9"/>
      <c r="E12" s="9"/>
      <c r="F12" s="9"/>
      <c r="G12" s="120"/>
      <c r="H12" s="2"/>
      <c r="I12" s="64" t="s">
        <v>132</v>
      </c>
    </row>
    <row r="13" spans="1:9" ht="12.75">
      <c r="A13" s="9"/>
      <c r="B13" s="8"/>
      <c r="C13" s="8"/>
      <c r="D13" s="9"/>
      <c r="E13" s="9"/>
      <c r="F13" s="9"/>
      <c r="G13" s="121" t="s">
        <v>1</v>
      </c>
      <c r="H13" s="31"/>
      <c r="I13" s="31" t="s">
        <v>5</v>
      </c>
    </row>
    <row r="14" spans="1:7" ht="12.75">
      <c r="A14" s="4" t="s">
        <v>59</v>
      </c>
      <c r="B14" s="8"/>
      <c r="C14" s="8"/>
      <c r="D14" s="9"/>
      <c r="E14" s="9"/>
      <c r="F14" s="9"/>
      <c r="G14" s="122"/>
    </row>
    <row r="15" spans="1:9" ht="12.75">
      <c r="A15" s="4" t="s">
        <v>226</v>
      </c>
      <c r="B15" s="8"/>
      <c r="C15" s="8"/>
      <c r="D15" s="9"/>
      <c r="E15" s="9"/>
      <c r="F15" s="9"/>
      <c r="G15" s="123"/>
      <c r="H15" s="10"/>
      <c r="I15" s="10"/>
    </row>
    <row r="16" spans="1:9" ht="12.75">
      <c r="A16" s="23"/>
      <c r="B16" s="24" t="s">
        <v>84</v>
      </c>
      <c r="C16" s="26"/>
      <c r="D16" s="26"/>
      <c r="E16" s="9"/>
      <c r="F16" s="9"/>
      <c r="G16" s="123">
        <f>'[2]M-GER95A.XLS'!$V$10</f>
        <v>33198.46142287</v>
      </c>
      <c r="H16" s="10"/>
      <c r="I16" s="10">
        <v>62460</v>
      </c>
    </row>
    <row r="17" spans="1:9" ht="12.75">
      <c r="A17" s="23"/>
      <c r="B17" s="24" t="s">
        <v>85</v>
      </c>
      <c r="C17" s="25"/>
      <c r="D17" s="26"/>
      <c r="E17" s="9"/>
      <c r="F17" s="9"/>
      <c r="G17" s="123">
        <f>'[2]M-GER95A.XLS'!$V$32</f>
        <v>57796.748600000006</v>
      </c>
      <c r="H17" s="10"/>
      <c r="I17" s="10">
        <v>58092</v>
      </c>
    </row>
    <row r="18" spans="1:9" ht="12.75">
      <c r="A18" s="23"/>
      <c r="B18" s="24" t="s">
        <v>98</v>
      </c>
      <c r="C18" s="25"/>
      <c r="D18" s="26"/>
      <c r="E18" s="9"/>
      <c r="F18" s="9"/>
      <c r="G18" s="19">
        <v>0</v>
      </c>
      <c r="H18" s="10"/>
      <c r="I18" s="100">
        <v>4781</v>
      </c>
    </row>
    <row r="19" spans="1:9" ht="12.75">
      <c r="A19" s="23"/>
      <c r="B19" s="24" t="s">
        <v>86</v>
      </c>
      <c r="C19" s="25"/>
      <c r="D19" s="26"/>
      <c r="E19" s="9"/>
      <c r="F19" s="9"/>
      <c r="G19" s="123">
        <f>'[2]M-GER95A.XLS'!$V$30</f>
        <v>37576</v>
      </c>
      <c r="H19" s="10"/>
      <c r="I19" s="10">
        <v>37576</v>
      </c>
    </row>
    <row r="20" spans="1:9" ht="12.75">
      <c r="A20" s="23"/>
      <c r="B20" s="24" t="s">
        <v>158</v>
      </c>
      <c r="C20" s="25"/>
      <c r="D20" s="26"/>
      <c r="E20" s="9"/>
      <c r="F20" s="9"/>
      <c r="G20" s="123">
        <f>'[2]M-GER95A.XLS'!$V$23+'[2]M-GER95A.XLS'!$V$48</f>
        <v>50389</v>
      </c>
      <c r="H20" s="10"/>
      <c r="I20" s="10">
        <f>9898+33296</f>
        <v>43194</v>
      </c>
    </row>
    <row r="21" spans="1:9" ht="12.75">
      <c r="A21" s="23"/>
      <c r="B21" s="24" t="s">
        <v>159</v>
      </c>
      <c r="C21" s="25"/>
      <c r="D21" s="26"/>
      <c r="E21" s="9"/>
      <c r="F21" s="9"/>
      <c r="G21" s="123">
        <f>'[2]M-GER95A.XLS'!$V$24</f>
        <v>41562</v>
      </c>
      <c r="H21" s="10"/>
      <c r="I21" s="10">
        <f>53260</f>
        <v>53260</v>
      </c>
    </row>
    <row r="22" spans="1:9" ht="12.75">
      <c r="A22" s="23"/>
      <c r="B22" s="23" t="s">
        <v>104</v>
      </c>
      <c r="C22" s="26"/>
      <c r="D22" s="26"/>
      <c r="E22" s="9"/>
      <c r="F22" s="9"/>
      <c r="G22" s="123">
        <f>'[2]M-GER95A.XLS'!$V$16-'[2]ASSC.XLS'!$N$132*0-'[2]M-GER95A.XLS'!$V$80*0</f>
        <v>40299.74903381563</v>
      </c>
      <c r="H22" s="10"/>
      <c r="I22" s="10">
        <f>15064+21497*0-1325*0</f>
        <v>15064</v>
      </c>
    </row>
    <row r="23" spans="1:9" ht="12.75">
      <c r="A23" s="23"/>
      <c r="B23" s="24" t="s">
        <v>116</v>
      </c>
      <c r="C23" s="26"/>
      <c r="D23" s="26"/>
      <c r="E23" s="9"/>
      <c r="F23" s="9"/>
      <c r="G23" s="123">
        <f>'[2]M-GER95A.XLS'!$V$20</f>
        <v>24660.0889365</v>
      </c>
      <c r="H23" s="10"/>
      <c r="I23" s="106">
        <v>24122</v>
      </c>
    </row>
    <row r="24" spans="1:9" ht="12.75">
      <c r="A24" s="23"/>
      <c r="B24" s="24" t="s">
        <v>87</v>
      </c>
      <c r="C24" s="25"/>
      <c r="D24" s="26"/>
      <c r="E24" s="9"/>
      <c r="F24" s="9"/>
      <c r="G24" s="123">
        <f>'[2]M-GER95A.XLS'!$V$28+'[2]M-GER95A.XLS'!$V$90+'[2]M-GER95A.XLS'!$V$35</f>
        <v>18398.04019</v>
      </c>
      <c r="H24" s="10"/>
      <c r="I24" s="10">
        <v>19644</v>
      </c>
    </row>
    <row r="25" spans="1:9" ht="12.75">
      <c r="A25" s="23"/>
      <c r="B25" s="24" t="s">
        <v>88</v>
      </c>
      <c r="C25" s="25"/>
      <c r="D25" s="26"/>
      <c r="E25" s="9"/>
      <c r="F25" s="9"/>
      <c r="G25" s="123">
        <f>'[2]M-GER95A.XLS'!$V$37</f>
        <v>3424</v>
      </c>
      <c r="H25" s="10"/>
      <c r="I25" s="10">
        <v>4644</v>
      </c>
    </row>
    <row r="26" spans="1:9" ht="12.75">
      <c r="A26" s="85" t="s">
        <v>227</v>
      </c>
      <c r="B26" s="26"/>
      <c r="C26" s="25"/>
      <c r="D26" s="26"/>
      <c r="E26" s="9"/>
      <c r="F26" s="9"/>
      <c r="G26" s="114">
        <f>SUM(G16:G25)</f>
        <v>307304.08818318567</v>
      </c>
      <c r="H26" s="10"/>
      <c r="I26" s="13">
        <f>SUM(I16:I25)</f>
        <v>322837</v>
      </c>
    </row>
    <row r="27" spans="1:9" ht="12.75">
      <c r="A27" s="23"/>
      <c r="B27" s="26"/>
      <c r="C27" s="25"/>
      <c r="D27" s="26"/>
      <c r="E27" s="9"/>
      <c r="F27" s="9"/>
      <c r="G27" s="123"/>
      <c r="H27" s="10"/>
      <c r="I27" s="10"/>
    </row>
    <row r="28" spans="1:9" ht="12.75">
      <c r="A28" s="39" t="s">
        <v>228</v>
      </c>
      <c r="B28" s="40"/>
      <c r="C28" s="39"/>
      <c r="D28" s="9"/>
      <c r="E28" s="9"/>
      <c r="F28" s="9"/>
      <c r="G28" s="123"/>
      <c r="H28" s="10"/>
      <c r="I28" s="10"/>
    </row>
    <row r="29" spans="1:9" ht="12.75">
      <c r="A29" s="39"/>
      <c r="B29" s="26" t="s">
        <v>95</v>
      </c>
      <c r="C29" s="39"/>
      <c r="D29" s="9"/>
      <c r="E29" s="9"/>
      <c r="F29" s="9"/>
      <c r="G29" s="123">
        <f>'[2]M-GER95A.XLS'!$V$45</f>
        <v>5073.78543</v>
      </c>
      <c r="H29" s="10"/>
      <c r="I29" s="10">
        <v>6955</v>
      </c>
    </row>
    <row r="30" spans="1:9" ht="12.75">
      <c r="A30" s="39"/>
      <c r="B30" s="23" t="s">
        <v>7</v>
      </c>
      <c r="C30" s="23"/>
      <c r="D30" s="9"/>
      <c r="E30" s="9"/>
      <c r="F30" s="9"/>
      <c r="G30" s="89">
        <f>'[2]M-GER95A.XLS'!$V$63</f>
        <v>19963.528388616047</v>
      </c>
      <c r="H30" s="11"/>
      <c r="I30" s="11">
        <f>33584</f>
        <v>33584</v>
      </c>
    </row>
    <row r="31" spans="1:9" ht="12.75">
      <c r="A31" s="39"/>
      <c r="B31" s="23" t="s">
        <v>71</v>
      </c>
      <c r="C31" s="24"/>
      <c r="D31" s="9"/>
      <c r="E31" s="9"/>
      <c r="F31" s="9"/>
      <c r="G31" s="89">
        <f>'[2]M-GER95A.XLS'!$V$40</f>
        <v>168475.425609681</v>
      </c>
      <c r="H31" s="11"/>
      <c r="I31" s="11">
        <f>171960</f>
        <v>171960</v>
      </c>
    </row>
    <row r="32" spans="1:9" ht="12.75">
      <c r="A32" s="39"/>
      <c r="B32" s="24" t="s">
        <v>94</v>
      </c>
      <c r="C32" s="24"/>
      <c r="D32" s="9"/>
      <c r="E32" s="9"/>
      <c r="F32" s="9"/>
      <c r="G32" s="19">
        <v>0</v>
      </c>
      <c r="H32" s="11"/>
      <c r="I32" s="19">
        <v>5918</v>
      </c>
    </row>
    <row r="33" spans="1:9" ht="12.75">
      <c r="A33" s="39"/>
      <c r="B33" s="24" t="s">
        <v>123</v>
      </c>
      <c r="C33" s="24"/>
      <c r="D33" s="9"/>
      <c r="E33" s="9"/>
      <c r="F33" s="9"/>
      <c r="G33" s="154">
        <f>'[2]M-GER95A.XLS'!$V$47-'[2]M-GER95A.XLS'!$V$80</f>
        <v>37130.92875</v>
      </c>
      <c r="H33" s="11"/>
      <c r="I33" s="19">
        <f>21497</f>
        <v>21497</v>
      </c>
    </row>
    <row r="34" spans="1:9" ht="12.75">
      <c r="A34" s="39"/>
      <c r="B34" s="24" t="s">
        <v>72</v>
      </c>
      <c r="C34" s="24"/>
      <c r="D34" s="9"/>
      <c r="E34" s="9"/>
      <c r="F34" s="9"/>
      <c r="G34" s="89">
        <f>'[2]M-GER95A.XLS'!$V$42</f>
        <v>31527.140460614006</v>
      </c>
      <c r="H34" s="11"/>
      <c r="I34" s="11">
        <f>29469</f>
        <v>29469</v>
      </c>
    </row>
    <row r="35" spans="1:9" ht="12.75">
      <c r="A35" s="39"/>
      <c r="B35" s="24" t="s">
        <v>159</v>
      </c>
      <c r="C35" s="24"/>
      <c r="D35" s="9"/>
      <c r="E35" s="9"/>
      <c r="F35" s="9"/>
      <c r="G35" s="89">
        <f>'[2]M-GER95A.XLS'!$V$50</f>
        <v>14037.9898</v>
      </c>
      <c r="H35" s="11"/>
      <c r="I35" s="11">
        <v>5943</v>
      </c>
    </row>
    <row r="36" spans="1:9" ht="12.75">
      <c r="A36" s="39"/>
      <c r="B36" s="24" t="s">
        <v>162</v>
      </c>
      <c r="C36" s="24"/>
      <c r="D36" s="9"/>
      <c r="E36" s="9"/>
      <c r="F36" s="9"/>
      <c r="G36" s="89">
        <f>'[2]M-GER95A.XLS'!$V$51+'[2]M-GER95A.XLS'!$V$25</f>
        <v>86720.9584</v>
      </c>
      <c r="H36" s="11"/>
      <c r="I36" s="11">
        <f>71643+33296-33296</f>
        <v>71643</v>
      </c>
    </row>
    <row r="37" spans="1:9" ht="12.75">
      <c r="A37" s="39"/>
      <c r="B37" s="24" t="s">
        <v>56</v>
      </c>
      <c r="C37" s="24"/>
      <c r="D37" s="9"/>
      <c r="E37" s="9"/>
      <c r="F37" s="9"/>
      <c r="G37" s="89">
        <f>'[2]M-GER95A.XLS'!$V$46</f>
        <v>2598.324249999999</v>
      </c>
      <c r="H37" s="11"/>
      <c r="I37" s="11">
        <v>2293</v>
      </c>
    </row>
    <row r="38" spans="1:9" ht="12.75">
      <c r="A38" s="39"/>
      <c r="B38" s="24" t="s">
        <v>11</v>
      </c>
      <c r="C38" s="24"/>
      <c r="D38" s="9"/>
      <c r="E38" s="9"/>
      <c r="F38" s="9"/>
      <c r="G38" s="89"/>
      <c r="H38" s="11"/>
      <c r="I38" s="11"/>
    </row>
    <row r="39" spans="1:9" ht="12.75">
      <c r="A39" s="39"/>
      <c r="B39" s="23" t="s">
        <v>12</v>
      </c>
      <c r="C39" s="24"/>
      <c r="D39" s="9"/>
      <c r="E39" s="9"/>
      <c r="F39" s="9"/>
      <c r="G39" s="89">
        <f>'[2]M-GER95A.XLS'!$V$64+'[2]M-GER95A.XLS'!$V$65</f>
        <v>482064.0136102671</v>
      </c>
      <c r="H39" s="11"/>
      <c r="I39" s="11">
        <v>525999</v>
      </c>
    </row>
    <row r="40" spans="1:9" ht="12.75">
      <c r="A40" s="39"/>
      <c r="B40" s="24" t="s">
        <v>13</v>
      </c>
      <c r="C40" s="24"/>
      <c r="D40" s="9"/>
      <c r="E40" s="9"/>
      <c r="F40" s="9"/>
      <c r="G40" s="89">
        <f>'[2]M-GER95A.XLS'!$V$66</f>
        <v>53924.372997765</v>
      </c>
      <c r="H40" s="11"/>
      <c r="I40" s="11">
        <v>73704</v>
      </c>
    </row>
    <row r="41" spans="1:9" ht="12.75">
      <c r="A41" s="39"/>
      <c r="B41" s="40"/>
      <c r="C41" s="25"/>
      <c r="D41" s="9"/>
      <c r="E41" s="9"/>
      <c r="F41" s="9"/>
      <c r="G41" s="160">
        <f>SUM(G29:G40)</f>
        <v>901516.4676969431</v>
      </c>
      <c r="I41" s="159">
        <f>SUM(I29:I40)</f>
        <v>948965</v>
      </c>
    </row>
    <row r="42" spans="1:9" ht="12.75">
      <c r="A42" s="39"/>
      <c r="B42" s="26" t="s">
        <v>229</v>
      </c>
      <c r="C42" s="25"/>
      <c r="D42" s="9"/>
      <c r="E42" s="9"/>
      <c r="F42" s="9"/>
      <c r="G42" s="89">
        <f>'[2]M-GER95A.XLS'!$V$67</f>
        <v>7993</v>
      </c>
      <c r="I42" s="11">
        <f>8166</f>
        <v>8166</v>
      </c>
    </row>
    <row r="43" spans="1:9" ht="12.75">
      <c r="A43" s="39"/>
      <c r="B43" s="40"/>
      <c r="C43" s="25"/>
      <c r="D43" s="9"/>
      <c r="E43" s="9"/>
      <c r="F43" s="9"/>
      <c r="G43" s="114">
        <f>G42+G41</f>
        <v>909509.4676969431</v>
      </c>
      <c r="I43" s="13">
        <f>I42+I41</f>
        <v>957131</v>
      </c>
    </row>
    <row r="44" spans="1:9" ht="12.75">
      <c r="A44" s="39"/>
      <c r="B44" s="40"/>
      <c r="C44" s="25"/>
      <c r="D44" s="9"/>
      <c r="E44" s="9"/>
      <c r="F44" s="9"/>
      <c r="G44" s="89"/>
      <c r="I44" s="11"/>
    </row>
    <row r="45" spans="1:9" ht="13.5" thickBot="1">
      <c r="A45" s="39" t="s">
        <v>60</v>
      </c>
      <c r="B45" s="40"/>
      <c r="C45" s="25"/>
      <c r="D45" s="9"/>
      <c r="E45" s="9"/>
      <c r="F45" s="9"/>
      <c r="G45" s="115">
        <f>G43+G26-1</f>
        <v>1216812.5558801289</v>
      </c>
      <c r="I45" s="83">
        <f>I43+I26</f>
        <v>1279968</v>
      </c>
    </row>
    <row r="46" spans="1:9" ht="13.5" thickTop="1">
      <c r="A46" s="39"/>
      <c r="B46" s="40"/>
      <c r="C46" s="25"/>
      <c r="D46" s="9"/>
      <c r="E46" s="9"/>
      <c r="F46" s="9"/>
      <c r="G46" s="89"/>
      <c r="I46" s="11"/>
    </row>
    <row r="47" spans="1:9" ht="12.75">
      <c r="A47" s="39"/>
      <c r="B47" s="40"/>
      <c r="C47" s="25"/>
      <c r="D47" s="9"/>
      <c r="E47" s="9"/>
      <c r="F47" s="9"/>
      <c r="G47" s="89"/>
      <c r="I47" s="11"/>
    </row>
    <row r="48" spans="1:9" ht="12.75">
      <c r="A48" s="39" t="s">
        <v>61</v>
      </c>
      <c r="B48" s="40"/>
      <c r="C48" s="25"/>
      <c r="D48" s="9"/>
      <c r="E48" s="9"/>
      <c r="F48" s="9"/>
      <c r="G48" s="89"/>
      <c r="H48" s="11"/>
      <c r="I48" s="11"/>
    </row>
    <row r="49" spans="1:9" ht="12.75">
      <c r="A49" s="41" t="s">
        <v>230</v>
      </c>
      <c r="B49" s="40"/>
      <c r="C49" s="25"/>
      <c r="D49" s="9"/>
      <c r="E49" s="9"/>
      <c r="F49" s="9"/>
      <c r="G49" s="89"/>
      <c r="H49" s="11"/>
      <c r="I49" s="11"/>
    </row>
    <row r="50" spans="1:9" ht="12.75">
      <c r="A50" s="23"/>
      <c r="B50" s="24" t="s">
        <v>89</v>
      </c>
      <c r="C50" s="40"/>
      <c r="D50" s="9"/>
      <c r="E50" s="9"/>
      <c r="F50" s="9"/>
      <c r="G50" s="123">
        <f>'[2]M-GER95A.XLS'!$V$95</f>
        <v>693334.1183726199</v>
      </c>
      <c r="I50" s="10">
        <v>693334</v>
      </c>
    </row>
    <row r="51" spans="1:9" ht="12.75">
      <c r="A51" s="23"/>
      <c r="B51" s="24" t="s">
        <v>133</v>
      </c>
      <c r="C51" s="40"/>
      <c r="D51" s="9"/>
      <c r="E51" s="9"/>
      <c r="F51" s="9"/>
      <c r="G51" s="164">
        <f>'[2]M-GER95A.XLS'!$V$103</f>
        <v>-4242</v>
      </c>
      <c r="I51" s="157">
        <f>-2963</f>
        <v>-2963</v>
      </c>
    </row>
    <row r="52" spans="1:9" ht="12.75">
      <c r="A52" s="23"/>
      <c r="B52" s="24" t="s">
        <v>90</v>
      </c>
      <c r="C52" s="40"/>
      <c r="D52" s="9"/>
      <c r="E52" s="9"/>
      <c r="F52" s="9"/>
      <c r="G52" s="123">
        <f>'[2]M-GER95A.XLS'!$V$99+'[2]M-GER95A.XLS'!$V$102+'[2]M-GER95A.XLS'!$V$104+2+'[2]M-GER95A.XLS'!$V$98</f>
        <v>69501.9868472197</v>
      </c>
      <c r="I52" s="10">
        <v>56613</v>
      </c>
    </row>
    <row r="53" spans="1:10" ht="12.75">
      <c r="A53" s="23"/>
      <c r="B53" s="24" t="s">
        <v>109</v>
      </c>
      <c r="C53" s="4"/>
      <c r="D53" s="9"/>
      <c r="E53" s="9"/>
      <c r="F53" s="9"/>
      <c r="G53" s="116">
        <f>'[2]M-GER95A.XLS'!$V$119-4</f>
        <v>122554.57670291605</v>
      </c>
      <c r="I53" s="81">
        <f>59898+9468*0</f>
        <v>59898</v>
      </c>
      <c r="J53" s="1"/>
    </row>
    <row r="54" spans="1:9" ht="12.75">
      <c r="A54" s="23"/>
      <c r="B54" s="26"/>
      <c r="C54" s="40"/>
      <c r="D54" s="9"/>
      <c r="E54" s="9"/>
      <c r="F54" s="9"/>
      <c r="G54" s="117">
        <f>SUM(G50:G53)</f>
        <v>881148.6819227557</v>
      </c>
      <c r="I54" s="43">
        <f>SUM(I50:I53)</f>
        <v>806882</v>
      </c>
    </row>
    <row r="55" spans="1:10" ht="12.75">
      <c r="A55" s="84" t="s">
        <v>134</v>
      </c>
      <c r="B55" s="26"/>
      <c r="C55" s="40"/>
      <c r="D55" s="9"/>
      <c r="E55" s="9"/>
      <c r="F55" s="9"/>
      <c r="G55" s="123">
        <f>'[2]M-GER95A.XLS'!$V$121-'[2]M-GER95A.XLS'!$V$62</f>
        <v>9437.196248238246</v>
      </c>
      <c r="I55" s="10">
        <v>19549</v>
      </c>
      <c r="J55" s="1"/>
    </row>
    <row r="56" spans="1:9" ht="12.75">
      <c r="A56" s="56" t="s">
        <v>231</v>
      </c>
      <c r="B56" s="26"/>
      <c r="C56" s="40"/>
      <c r="D56" s="9"/>
      <c r="E56" s="9"/>
      <c r="F56" s="9"/>
      <c r="G56" s="114">
        <f>G54+G55</f>
        <v>890585.8781709939</v>
      </c>
      <c r="I56" s="13">
        <f>I54+I55</f>
        <v>826431</v>
      </c>
    </row>
    <row r="57" spans="1:9" ht="12.75">
      <c r="A57" s="85"/>
      <c r="B57" s="26"/>
      <c r="C57" s="40"/>
      <c r="D57" s="9"/>
      <c r="E57" s="9"/>
      <c r="F57" s="9"/>
      <c r="G57" s="89"/>
      <c r="I57" s="11"/>
    </row>
    <row r="58" spans="1:9" ht="12.75">
      <c r="A58" s="14" t="s">
        <v>232</v>
      </c>
      <c r="B58" s="26"/>
      <c r="C58" s="40"/>
      <c r="D58" s="9"/>
      <c r="E58" s="9"/>
      <c r="F58" s="9"/>
      <c r="G58" s="89"/>
      <c r="I58" s="11"/>
    </row>
    <row r="59" spans="1:9" ht="12.75">
      <c r="A59" s="84"/>
      <c r="B59" s="84" t="s">
        <v>111</v>
      </c>
      <c r="C59" s="26"/>
      <c r="D59" s="26"/>
      <c r="E59" s="26"/>
      <c r="F59" s="26"/>
      <c r="G59" s="118">
        <f>'[2]M-GER95A.XLS'!$V$131</f>
        <v>7544</v>
      </c>
      <c r="H59" s="26"/>
      <c r="I59" s="161">
        <v>9418</v>
      </c>
    </row>
    <row r="60" spans="1:9" ht="12.75">
      <c r="A60" s="84"/>
      <c r="B60" s="97" t="s">
        <v>126</v>
      </c>
      <c r="C60" s="26"/>
      <c r="D60" s="26"/>
      <c r="E60" s="26"/>
      <c r="F60" s="26"/>
      <c r="G60" s="19">
        <v>0</v>
      </c>
      <c r="H60" s="26"/>
      <c r="I60" s="156">
        <v>4611</v>
      </c>
    </row>
    <row r="61" spans="1:9" ht="12.75">
      <c r="A61" s="84"/>
      <c r="B61" s="84" t="s">
        <v>14</v>
      </c>
      <c r="C61" s="26"/>
      <c r="D61" s="26"/>
      <c r="E61" s="26"/>
      <c r="F61" s="26"/>
      <c r="G61" s="174">
        <f>'[2]M-GER95A.XLS'!$V$129</f>
        <v>0</v>
      </c>
      <c r="H61" s="26"/>
      <c r="I61" s="161">
        <v>6260</v>
      </c>
    </row>
    <row r="62" spans="1:9" ht="12.75">
      <c r="A62" s="84"/>
      <c r="B62" s="97" t="s">
        <v>91</v>
      </c>
      <c r="C62" s="40"/>
      <c r="D62" s="9"/>
      <c r="E62" s="9"/>
      <c r="F62" s="9"/>
      <c r="G62" s="123">
        <f>'[2]M-GER95A.XLS'!$V$128</f>
        <v>373.48536407700016</v>
      </c>
      <c r="I62" s="157">
        <v>814</v>
      </c>
    </row>
    <row r="63" spans="1:9" ht="12.75">
      <c r="A63" s="40"/>
      <c r="B63" s="40"/>
      <c r="C63" s="40"/>
      <c r="D63" s="9"/>
      <c r="E63" s="9"/>
      <c r="F63" s="9"/>
      <c r="G63" s="114">
        <f>G62+G59+G61+1+G60-1</f>
        <v>7917.485364077</v>
      </c>
      <c r="I63" s="158">
        <f>SUM(I59:I62)</f>
        <v>21103</v>
      </c>
    </row>
    <row r="64" ht="12.75">
      <c r="G64" s="122"/>
    </row>
    <row r="65" spans="1:9" ht="12.75">
      <c r="A65" s="39" t="s">
        <v>233</v>
      </c>
      <c r="B65" s="40"/>
      <c r="C65" s="25"/>
      <c r="D65" s="9"/>
      <c r="E65" s="9"/>
      <c r="F65" s="9"/>
      <c r="G65" s="89"/>
      <c r="H65" s="11"/>
      <c r="I65" s="11"/>
    </row>
    <row r="66" spans="1:9" ht="12.75">
      <c r="A66" s="39"/>
      <c r="B66" s="23" t="s">
        <v>73</v>
      </c>
      <c r="C66" s="24"/>
      <c r="D66" s="9"/>
      <c r="E66" s="9"/>
      <c r="F66" s="9"/>
      <c r="G66" s="89">
        <f>SUM('[2]M-GER95A.XLS'!$V$71)</f>
        <v>221030.24864221</v>
      </c>
      <c r="H66" s="11"/>
      <c r="I66" s="11">
        <v>198495</v>
      </c>
    </row>
    <row r="67" spans="1:9" ht="12.75">
      <c r="A67" s="39"/>
      <c r="B67" s="24" t="s">
        <v>74</v>
      </c>
      <c r="C67" s="24"/>
      <c r="D67" s="9"/>
      <c r="E67" s="9"/>
      <c r="F67" s="9"/>
      <c r="G67" s="124">
        <f>'[2]M-GER95A.XLS'!$V$73+'[2]M-GER95A.XLS'!$V$75+3+'[2]M-GER95A.XLS'!$V$72+3+'[2]M-GER95A.XLS'!$V$83</f>
        <v>21287.420274623997</v>
      </c>
      <c r="H67" s="11"/>
      <c r="I67" s="11">
        <v>40589</v>
      </c>
    </row>
    <row r="68" spans="1:9" ht="12.75">
      <c r="A68" s="39"/>
      <c r="B68" s="24" t="s">
        <v>14</v>
      </c>
      <c r="C68" s="24"/>
      <c r="D68" s="9"/>
      <c r="E68" s="9"/>
      <c r="F68" s="9"/>
      <c r="G68" s="89">
        <f>'[2]M-GER95A.XLS'!$V$82+'[2]M-GER95A.XLS'!$V$84</f>
        <v>74839.8285</v>
      </c>
      <c r="H68" s="11"/>
      <c r="I68" s="11">
        <v>192544</v>
      </c>
    </row>
    <row r="69" spans="1:9" ht="12.75">
      <c r="A69" s="39"/>
      <c r="B69" s="23" t="s">
        <v>105</v>
      </c>
      <c r="C69" s="25"/>
      <c r="D69" s="9"/>
      <c r="E69" s="9"/>
      <c r="F69" s="9"/>
      <c r="G69" s="89">
        <f>'[2]M-GER95A.XLS'!$V$79</f>
        <v>1153.450957347</v>
      </c>
      <c r="H69" s="11"/>
      <c r="I69" s="11">
        <v>806</v>
      </c>
    </row>
    <row r="70" spans="1:9" ht="12.75">
      <c r="A70" s="39"/>
      <c r="B70" s="40"/>
      <c r="C70" s="35"/>
      <c r="D70" s="9"/>
      <c r="E70" s="9"/>
      <c r="F70" s="9"/>
      <c r="G70" s="114">
        <f>SUM(G66:G69)-1</f>
        <v>318309.948374181</v>
      </c>
      <c r="I70" s="13">
        <f>SUM(I66:I69)</f>
        <v>432434</v>
      </c>
    </row>
    <row r="71" spans="1:9" ht="12.75">
      <c r="A71" s="39"/>
      <c r="B71" s="40"/>
      <c r="C71" s="35"/>
      <c r="D71" s="9"/>
      <c r="E71" s="9"/>
      <c r="F71" s="9"/>
      <c r="G71" s="89"/>
      <c r="I71" s="11"/>
    </row>
    <row r="72" spans="1:9" ht="12.75">
      <c r="A72" s="41" t="s">
        <v>62</v>
      </c>
      <c r="B72" s="40"/>
      <c r="C72" s="35"/>
      <c r="D72" s="9"/>
      <c r="E72" s="9"/>
      <c r="F72" s="9"/>
      <c r="G72" s="89">
        <f>G70+G63</f>
        <v>326227.43373825797</v>
      </c>
      <c r="I72" s="11">
        <f>I70+I63</f>
        <v>453537</v>
      </c>
    </row>
    <row r="73" spans="2:9" ht="12.75">
      <c r="B73" s="40"/>
      <c r="C73" s="40"/>
      <c r="D73" s="9"/>
      <c r="E73" s="9"/>
      <c r="F73" s="9"/>
      <c r="G73" s="125"/>
      <c r="I73" s="10"/>
    </row>
    <row r="74" spans="1:9" ht="13.5" thickBot="1">
      <c r="A74" s="41" t="s">
        <v>63</v>
      </c>
      <c r="B74" s="40"/>
      <c r="C74" s="40"/>
      <c r="D74" s="9"/>
      <c r="E74" s="9"/>
      <c r="F74" s="9"/>
      <c r="G74" s="126">
        <f>G72+G56</f>
        <v>1216813.3119092518</v>
      </c>
      <c r="I74" s="12">
        <f>I72+I56</f>
        <v>1279968</v>
      </c>
    </row>
    <row r="75" spans="1:9" ht="13.5" thickTop="1">
      <c r="A75" s="3"/>
      <c r="C75" s="9"/>
      <c r="D75" s="9"/>
      <c r="E75" s="9"/>
      <c r="F75" s="9"/>
      <c r="G75" s="127">
        <f>G74-G45-1</f>
        <v>-0.24397087702527642</v>
      </c>
      <c r="I75" s="19"/>
    </row>
    <row r="76" spans="1:9" ht="12.75">
      <c r="A76" s="3"/>
      <c r="C76" s="9"/>
      <c r="D76" s="9"/>
      <c r="E76" s="9"/>
      <c r="F76" s="9"/>
      <c r="G76" s="127"/>
      <c r="I76" s="19"/>
    </row>
    <row r="77" spans="1:9" ht="12.75">
      <c r="A77" s="56" t="s">
        <v>135</v>
      </c>
      <c r="C77" s="9"/>
      <c r="D77" s="9"/>
      <c r="E77" s="9"/>
      <c r="F77" s="9"/>
      <c r="G77" s="127"/>
      <c r="I77" s="19"/>
    </row>
    <row r="78" spans="1:10" ht="12.75">
      <c r="A78" s="56" t="s">
        <v>124</v>
      </c>
      <c r="C78" s="9"/>
      <c r="D78" s="9"/>
      <c r="E78" s="9"/>
      <c r="F78" s="21"/>
      <c r="G78" s="128">
        <f>(G54)/'[4]Sept10'!$C$38</f>
        <v>1.2867507184855778</v>
      </c>
      <c r="H78" s="19"/>
      <c r="I78" s="68">
        <v>1.17</v>
      </c>
      <c r="J78" s="46"/>
    </row>
    <row r="79" spans="1:9" ht="12.75">
      <c r="A79" s="56"/>
      <c r="C79" s="9"/>
      <c r="D79" s="9"/>
      <c r="E79" s="9"/>
      <c r="F79" s="21"/>
      <c r="G79" s="68"/>
      <c r="H79" s="19"/>
      <c r="I79" s="68"/>
    </row>
    <row r="80" spans="1:9" ht="12.75">
      <c r="A80" s="56"/>
      <c r="C80" s="9"/>
      <c r="D80" s="9"/>
      <c r="E80" s="9"/>
      <c r="F80" s="21"/>
      <c r="G80" s="68"/>
      <c r="H80" s="19"/>
      <c r="I80" s="68"/>
    </row>
    <row r="81" spans="1:11" ht="12.75">
      <c r="A81" s="182" t="s">
        <v>200</v>
      </c>
      <c r="B81" s="182"/>
      <c r="C81" s="182"/>
      <c r="D81" s="182"/>
      <c r="E81" s="182"/>
      <c r="F81" s="182"/>
      <c r="G81" s="182"/>
      <c r="H81" s="182"/>
      <c r="I81" s="182"/>
      <c r="J81" s="182"/>
      <c r="K81" s="182"/>
    </row>
    <row r="82" spans="1:11" ht="12.75">
      <c r="A82" s="177" t="s">
        <v>153</v>
      </c>
      <c r="B82" s="177"/>
      <c r="C82" s="177"/>
      <c r="D82" s="177"/>
      <c r="E82" s="177"/>
      <c r="F82" s="177"/>
      <c r="G82" s="177"/>
      <c r="H82" s="177"/>
      <c r="I82" s="177"/>
      <c r="J82" s="177"/>
      <c r="K82" s="177"/>
    </row>
    <row r="83" spans="1:10" ht="12.75">
      <c r="A83" s="91" t="s">
        <v>152</v>
      </c>
      <c r="B83" s="108"/>
      <c r="C83" s="108"/>
      <c r="D83" s="108"/>
      <c r="E83" s="108"/>
      <c r="F83" s="108"/>
      <c r="G83" s="108"/>
      <c r="H83" s="108"/>
      <c r="I83" s="108"/>
      <c r="J83" s="108"/>
    </row>
    <row r="85" spans="1:11" ht="12.75">
      <c r="A85" s="178" t="s">
        <v>201</v>
      </c>
      <c r="B85" s="178"/>
      <c r="C85" s="178"/>
      <c r="D85" s="178"/>
      <c r="E85" s="178"/>
      <c r="F85" s="178"/>
      <c r="G85" s="178"/>
      <c r="H85" s="178"/>
      <c r="I85" s="178"/>
      <c r="J85" s="178"/>
      <c r="K85" s="111"/>
    </row>
    <row r="86" spans="1:11" ht="12.75">
      <c r="A86" s="179" t="s">
        <v>234</v>
      </c>
      <c r="B86" s="179"/>
      <c r="C86" s="179"/>
      <c r="D86" s="179"/>
      <c r="E86" s="179"/>
      <c r="F86" s="179"/>
      <c r="G86" s="179"/>
      <c r="H86" s="179"/>
      <c r="I86" s="179"/>
      <c r="J86" s="179"/>
      <c r="K86" s="112"/>
    </row>
    <row r="90" spans="1:9" ht="12.75">
      <c r="A90" s="39"/>
      <c r="B90" s="40"/>
      <c r="C90" s="39"/>
      <c r="D90" s="9"/>
      <c r="E90" s="9"/>
      <c r="F90" s="9"/>
      <c r="G90" s="10"/>
      <c r="I90" s="10"/>
    </row>
    <row r="91" spans="1:9" ht="12.75">
      <c r="A91" s="86"/>
      <c r="B91" s="87"/>
      <c r="C91" s="87"/>
      <c r="D91" s="88"/>
      <c r="E91" s="88"/>
      <c r="F91" s="88"/>
      <c r="G91" s="89"/>
      <c r="H91" s="90"/>
      <c r="I91" s="89"/>
    </row>
    <row r="92" spans="1:9" ht="12.75">
      <c r="A92" s="86"/>
      <c r="B92" s="87"/>
      <c r="C92" s="86"/>
      <c r="D92" s="88"/>
      <c r="E92" s="88"/>
      <c r="F92" s="88"/>
      <c r="G92" s="89"/>
      <c r="H92" s="90"/>
      <c r="I92" s="89"/>
    </row>
  </sheetData>
  <mergeCells count="7">
    <mergeCell ref="A82:K82"/>
    <mergeCell ref="A85:J85"/>
    <mergeCell ref="A86:J86"/>
    <mergeCell ref="A1:I1"/>
    <mergeCell ref="A2:I2"/>
    <mergeCell ref="A3:I3"/>
    <mergeCell ref="A81:K81"/>
  </mergeCells>
  <printOptions/>
  <pageMargins left="1" right="0" top="0.1" bottom="0" header="0.26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37"/>
  <sheetViews>
    <sheetView zoomScale="75" zoomScaleNormal="75" workbookViewId="0" topLeftCell="A15">
      <selection activeCell="A64" sqref="A64:M64"/>
    </sheetView>
  </sheetViews>
  <sheetFormatPr defaultColWidth="9.140625" defaultRowHeight="12.75"/>
  <cols>
    <col min="1" max="1" width="25.7109375" style="0" customWidth="1"/>
    <col min="2" max="2" width="6.7109375" style="0" customWidth="1"/>
    <col min="3" max="3" width="1.7109375" style="0" customWidth="1"/>
    <col min="4" max="5" width="11.7109375" style="0" customWidth="1"/>
    <col min="6" max="6" width="20.7109375" style="0" customWidth="1"/>
    <col min="7" max="9" width="11.7109375" style="0" customWidth="1"/>
    <col min="10" max="10" width="13.7109375" style="0" customWidth="1"/>
    <col min="11" max="11" width="10.7109375" style="0" customWidth="1"/>
    <col min="12" max="12" width="11.7109375" style="0" customWidth="1"/>
    <col min="13" max="13" width="12.7109375" style="0" customWidth="1"/>
  </cols>
  <sheetData>
    <row r="1" spans="1:13" ht="15.75">
      <c r="A1" s="184" t="s">
        <v>97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13"/>
      <c r="M1" s="113"/>
    </row>
    <row r="2" spans="1:13" ht="12.75">
      <c r="A2" s="185" t="s">
        <v>66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09"/>
      <c r="M2" s="109"/>
    </row>
    <row r="3" spans="1:13" ht="12.75">
      <c r="A3" s="185" t="s">
        <v>67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09"/>
      <c r="M3" s="109"/>
    </row>
    <row r="4" spans="1:10" ht="12.75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3" ht="13.5" thickBot="1">
      <c r="A5" s="55" t="s">
        <v>207</v>
      </c>
      <c r="B5" s="37"/>
      <c r="C5" s="37"/>
      <c r="D5" s="37"/>
      <c r="E5" s="37"/>
      <c r="F5" s="37"/>
      <c r="G5" s="37"/>
      <c r="H5" s="37"/>
      <c r="I5" s="37"/>
      <c r="J5" s="33"/>
      <c r="K5" s="20"/>
      <c r="L5" s="20"/>
      <c r="M5" s="20"/>
    </row>
    <row r="6" spans="1:10" ht="15.75">
      <c r="A6" s="30"/>
      <c r="B6" s="28"/>
      <c r="C6" s="25"/>
      <c r="D6" s="26"/>
      <c r="E6" s="26"/>
      <c r="F6" s="26"/>
      <c r="G6" s="26"/>
      <c r="H6" s="29"/>
      <c r="I6" s="29"/>
      <c r="J6" s="29"/>
    </row>
    <row r="7" spans="1:10" ht="15.75">
      <c r="A7" s="56" t="s">
        <v>240</v>
      </c>
      <c r="B7" s="28"/>
      <c r="C7" s="25"/>
      <c r="D7" s="26"/>
      <c r="E7" s="26"/>
      <c r="F7" s="26"/>
      <c r="G7" s="26"/>
      <c r="H7" s="29"/>
      <c r="I7" s="29"/>
      <c r="J7" s="29"/>
    </row>
    <row r="8" ht="12.75">
      <c r="A8" s="14"/>
    </row>
    <row r="9" spans="2:12" ht="12.75">
      <c r="B9" s="14"/>
      <c r="D9" s="14" t="s">
        <v>235</v>
      </c>
      <c r="E9" s="91"/>
      <c r="F9" s="91"/>
      <c r="G9" s="91"/>
      <c r="H9" s="91"/>
      <c r="I9" s="91"/>
      <c r="J9" s="91"/>
      <c r="L9" s="21" t="s">
        <v>137</v>
      </c>
    </row>
    <row r="10" spans="4:13" ht="12.75">
      <c r="D10" s="21"/>
      <c r="E10" s="21"/>
      <c r="F10" s="21" t="s">
        <v>176</v>
      </c>
      <c r="G10" s="21"/>
      <c r="H10" s="21" t="s">
        <v>29</v>
      </c>
      <c r="I10" s="21"/>
      <c r="L10" s="21" t="s">
        <v>138</v>
      </c>
      <c r="M10" s="21" t="s">
        <v>64</v>
      </c>
    </row>
    <row r="11" spans="4:13" ht="12.75">
      <c r="D11" s="21" t="s">
        <v>26</v>
      </c>
      <c r="E11" s="21" t="s">
        <v>27</v>
      </c>
      <c r="F11" s="21" t="s">
        <v>177</v>
      </c>
      <c r="G11" s="21" t="s">
        <v>28</v>
      </c>
      <c r="H11" s="21" t="s">
        <v>78</v>
      </c>
      <c r="I11" s="21" t="s">
        <v>30</v>
      </c>
      <c r="J11" s="21" t="s">
        <v>139</v>
      </c>
      <c r="K11" s="21" t="s">
        <v>31</v>
      </c>
      <c r="L11" s="21" t="s">
        <v>81</v>
      </c>
      <c r="M11" s="21" t="s">
        <v>82</v>
      </c>
    </row>
    <row r="12" spans="4:10" ht="12.75">
      <c r="D12" s="21" t="s">
        <v>75</v>
      </c>
      <c r="E12" s="21" t="s">
        <v>76</v>
      </c>
      <c r="F12" s="21" t="s">
        <v>181</v>
      </c>
      <c r="G12" s="21" t="s">
        <v>77</v>
      </c>
      <c r="H12" s="21" t="s">
        <v>79</v>
      </c>
      <c r="I12" s="21" t="s">
        <v>80</v>
      </c>
      <c r="J12" s="21" t="s">
        <v>140</v>
      </c>
    </row>
    <row r="13" spans="4:13" ht="12.75">
      <c r="D13" s="21" t="s">
        <v>5</v>
      </c>
      <c r="E13" s="21" t="s">
        <v>5</v>
      </c>
      <c r="F13" s="21" t="s">
        <v>5</v>
      </c>
      <c r="G13" s="21" t="s">
        <v>5</v>
      </c>
      <c r="H13" s="21" t="s">
        <v>5</v>
      </c>
      <c r="I13" s="21" t="s">
        <v>5</v>
      </c>
      <c r="J13" s="21" t="s">
        <v>5</v>
      </c>
      <c r="K13" s="21" t="s">
        <v>5</v>
      </c>
      <c r="L13" s="21" t="s">
        <v>5</v>
      </c>
      <c r="M13" s="21" t="s">
        <v>5</v>
      </c>
    </row>
    <row r="14" spans="1:12" ht="12.75">
      <c r="A14" s="51"/>
      <c r="D14" s="21"/>
      <c r="E14" s="21"/>
      <c r="F14" s="21"/>
      <c r="G14" s="21"/>
      <c r="H14" s="21"/>
      <c r="I14" s="21"/>
      <c r="J14" s="21"/>
      <c r="K14" s="21"/>
      <c r="L14" s="21"/>
    </row>
    <row r="15" spans="1:14" ht="12.75">
      <c r="A15" s="129" t="s">
        <v>214</v>
      </c>
      <c r="B15" s="122"/>
      <c r="C15" s="122"/>
      <c r="D15" s="119"/>
      <c r="E15" s="119"/>
      <c r="F15" s="119"/>
      <c r="G15" s="119"/>
      <c r="H15" s="119"/>
      <c r="I15" s="119"/>
      <c r="J15" s="119"/>
      <c r="K15" s="119"/>
      <c r="L15" s="119"/>
      <c r="M15" s="122"/>
      <c r="N15" s="122"/>
    </row>
    <row r="16" spans="1:14" ht="12.75">
      <c r="A16" s="129"/>
      <c r="B16" s="122"/>
      <c r="C16" s="122"/>
      <c r="D16" s="119"/>
      <c r="E16" s="119"/>
      <c r="F16" s="119"/>
      <c r="G16" s="119"/>
      <c r="H16" s="119"/>
      <c r="I16" s="119"/>
      <c r="J16" s="119"/>
      <c r="K16" s="119"/>
      <c r="L16" s="119"/>
      <c r="M16" s="122"/>
      <c r="N16" s="122"/>
    </row>
    <row r="17" spans="1:14" ht="12.75">
      <c r="A17" s="130" t="s">
        <v>136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</row>
    <row r="18" spans="1:36" ht="12.75">
      <c r="A18" s="5" t="s">
        <v>178</v>
      </c>
      <c r="B18" s="122"/>
      <c r="C18" s="122"/>
      <c r="D18" s="117">
        <v>693334</v>
      </c>
      <c r="E18" s="117">
        <f>54489</f>
        <v>54489</v>
      </c>
      <c r="F18" s="117">
        <v>0</v>
      </c>
      <c r="G18" s="117">
        <v>1200</v>
      </c>
      <c r="H18" s="117">
        <v>924</v>
      </c>
      <c r="I18" s="117">
        <f>-2963</f>
        <v>-2963</v>
      </c>
      <c r="J18" s="117">
        <v>59898</v>
      </c>
      <c r="K18" s="117">
        <f>SUM(D18:J18)</f>
        <v>806882</v>
      </c>
      <c r="L18" s="117">
        <f>19549</f>
        <v>19549</v>
      </c>
      <c r="M18" s="117">
        <f>L18+K18</f>
        <v>826431</v>
      </c>
      <c r="N18" s="117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</row>
    <row r="19" spans="1:36" ht="12.75">
      <c r="A19" s="130"/>
      <c r="B19" s="122"/>
      <c r="C19" s="122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</row>
    <row r="20" spans="1:36" ht="12.75">
      <c r="A20" s="130" t="s">
        <v>179</v>
      </c>
      <c r="B20" s="122"/>
      <c r="C20" s="122"/>
      <c r="D20" s="133">
        <v>0</v>
      </c>
      <c r="E20" s="133">
        <v>0</v>
      </c>
      <c r="F20" s="133">
        <f>6760</f>
        <v>6760</v>
      </c>
      <c r="G20" s="133">
        <v>0</v>
      </c>
      <c r="H20" s="133">
        <v>0</v>
      </c>
      <c r="I20" s="133">
        <v>0</v>
      </c>
      <c r="J20" s="133">
        <v>0</v>
      </c>
      <c r="K20" s="133">
        <f>SUM(D20:J20)</f>
        <v>6760</v>
      </c>
      <c r="L20" s="133">
        <v>0</v>
      </c>
      <c r="M20" s="133">
        <f>L20+K20</f>
        <v>6760</v>
      </c>
      <c r="N20" s="117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</row>
    <row r="21" spans="1:36" ht="12.75">
      <c r="A21" s="130"/>
      <c r="B21" s="122"/>
      <c r="C21" s="122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</row>
    <row r="22" spans="1:36" ht="12.75">
      <c r="A22" s="152" t="s">
        <v>180</v>
      </c>
      <c r="B22" s="122"/>
      <c r="C22" s="122"/>
      <c r="D22" s="117">
        <f>D20+D18</f>
        <v>693334</v>
      </c>
      <c r="E22" s="117">
        <f>E20+E18</f>
        <v>54489</v>
      </c>
      <c r="F22" s="117">
        <f>F20</f>
        <v>6760</v>
      </c>
      <c r="G22" s="117">
        <f aca="true" t="shared" si="0" ref="G22:M22">G20+G18</f>
        <v>1200</v>
      </c>
      <c r="H22" s="117">
        <f t="shared" si="0"/>
        <v>924</v>
      </c>
      <c r="I22" s="117">
        <f t="shared" si="0"/>
        <v>-2963</v>
      </c>
      <c r="J22" s="117">
        <f t="shared" si="0"/>
        <v>59898</v>
      </c>
      <c r="K22" s="117">
        <f t="shared" si="0"/>
        <v>813642</v>
      </c>
      <c r="L22" s="117">
        <f t="shared" si="0"/>
        <v>19549</v>
      </c>
      <c r="M22" s="117">
        <f t="shared" si="0"/>
        <v>833191</v>
      </c>
      <c r="N22" s="117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</row>
    <row r="23" spans="1:36" ht="12.75">
      <c r="A23" s="130"/>
      <c r="B23" s="122"/>
      <c r="C23" s="122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</row>
    <row r="24" spans="1:36" ht="12.75">
      <c r="A24" s="122" t="s">
        <v>120</v>
      </c>
      <c r="B24" s="122"/>
      <c r="C24" s="122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f>I35-I18</f>
        <v>-1279</v>
      </c>
      <c r="J24" s="117">
        <v>0</v>
      </c>
      <c r="K24" s="117">
        <f>SUM(D24:J24)</f>
        <v>-1279</v>
      </c>
      <c r="L24" s="117">
        <v>0</v>
      </c>
      <c r="M24" s="117">
        <f>L24+K24</f>
        <v>-1279</v>
      </c>
      <c r="N24" s="117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</row>
    <row r="25" spans="1:36" ht="12.75">
      <c r="A25" s="122"/>
      <c r="B25" s="122"/>
      <c r="C25" s="122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</row>
    <row r="26" spans="1:36" ht="12.75">
      <c r="A26" s="122" t="s">
        <v>219</v>
      </c>
      <c r="B26" s="122"/>
      <c r="C26" s="122"/>
      <c r="N26" s="117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</row>
    <row r="27" spans="1:36" ht="12.75">
      <c r="A27" s="122" t="s">
        <v>173</v>
      </c>
      <c r="B27" s="122"/>
      <c r="C27" s="122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f>SUM(D27:J27)</f>
        <v>0</v>
      </c>
      <c r="L27" s="117">
        <f>1883</f>
        <v>1883</v>
      </c>
      <c r="M27" s="117">
        <f>L27+K27</f>
        <v>1883</v>
      </c>
      <c r="N27" s="117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</row>
    <row r="28" spans="1:36" ht="12.75">
      <c r="A28" s="122"/>
      <c r="B28" s="122"/>
      <c r="C28" s="122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</row>
    <row r="29" spans="1:36" ht="12.75">
      <c r="A29" s="122" t="s">
        <v>172</v>
      </c>
      <c r="B29" s="122"/>
      <c r="C29" s="122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</row>
    <row r="30" spans="1:36" ht="12.75">
      <c r="A30" s="122" t="s">
        <v>173</v>
      </c>
      <c r="B30" s="122"/>
      <c r="C30" s="122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f>SUM(D30:J30)</f>
        <v>0</v>
      </c>
      <c r="L30" s="117">
        <f>-'[3]mi&amp;gw'!$J$9</f>
        <v>-12044.197588199999</v>
      </c>
      <c r="M30" s="117">
        <f>L30+K30</f>
        <v>-12044.197588199999</v>
      </c>
      <c r="N30" s="117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</row>
    <row r="31" spans="1:36" ht="12.75">
      <c r="A31" s="122"/>
      <c r="B31" s="122"/>
      <c r="C31" s="122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</row>
    <row r="32" spans="1:36" ht="12.75">
      <c r="A32" s="152" t="s">
        <v>185</v>
      </c>
      <c r="B32" s="122"/>
      <c r="C32" s="122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</row>
    <row r="33" spans="1:36" ht="12.75">
      <c r="A33" s="152" t="s">
        <v>186</v>
      </c>
      <c r="B33" s="122"/>
      <c r="C33" s="122"/>
      <c r="D33" s="117">
        <v>0</v>
      </c>
      <c r="E33" s="117">
        <v>0</v>
      </c>
      <c r="F33" s="117">
        <f>'CI'!H22+'CI'!H23</f>
        <v>8649</v>
      </c>
      <c r="G33" s="117">
        <v>0</v>
      </c>
      <c r="H33" s="117">
        <f>-2520</f>
        <v>-2520</v>
      </c>
      <c r="I33" s="117">
        <v>0</v>
      </c>
      <c r="J33" s="117">
        <f>'P&amp;L'!H57</f>
        <v>62656.531447050984</v>
      </c>
      <c r="K33" s="117">
        <f>SUM(D33:J33)</f>
        <v>68785.53144705098</v>
      </c>
      <c r="L33" s="117">
        <f>'CI'!H34</f>
        <v>49</v>
      </c>
      <c r="M33" s="117">
        <f>L33+K33</f>
        <v>68834.53144705098</v>
      </c>
      <c r="N33" s="117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</row>
    <row r="34" spans="1:36" ht="12.75">
      <c r="A34" s="122"/>
      <c r="B34" s="122"/>
      <c r="C34" s="122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1:36" ht="13.5" thickBot="1">
      <c r="A35" s="130" t="s">
        <v>215</v>
      </c>
      <c r="B35" s="122"/>
      <c r="C35" s="122"/>
      <c r="D35" s="131">
        <f>SUM(D22:D34)</f>
        <v>693334</v>
      </c>
      <c r="E35" s="131">
        <f>SUM(E22:E34)</f>
        <v>54489</v>
      </c>
      <c r="F35" s="131">
        <f>SUM(F22:F34)</f>
        <v>15409</v>
      </c>
      <c r="G35" s="131">
        <f>SUM(G22:G34)</f>
        <v>1200</v>
      </c>
      <c r="H35" s="131">
        <f>'[2]M-GER95A.XLS'!$V$104</f>
        <v>-1596.470362780312</v>
      </c>
      <c r="I35" s="131">
        <f>'[2]M-GER95A.XLS'!$V$103</f>
        <v>-4242</v>
      </c>
      <c r="J35" s="131">
        <f>SUM(J22:J34)</f>
        <v>122554.53144705098</v>
      </c>
      <c r="K35" s="131">
        <f>SUM(K22:K34)</f>
        <v>881148.531447051</v>
      </c>
      <c r="L35" s="131">
        <f>'BS'!G55</f>
        <v>9437.196248238246</v>
      </c>
      <c r="M35" s="131">
        <f>L35+K35</f>
        <v>890585.7276952892</v>
      </c>
      <c r="N35" s="117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</row>
    <row r="36" spans="4:36" ht="12.75">
      <c r="D36" s="43"/>
      <c r="E36" s="43"/>
      <c r="F36" s="43"/>
      <c r="G36" s="43"/>
      <c r="H36" s="43"/>
      <c r="I36" s="43"/>
      <c r="J36" s="43"/>
      <c r="K36" s="1"/>
      <c r="L36" s="1"/>
      <c r="M36" s="43">
        <f>M35-'BS'!G56</f>
        <v>-0.15047570469323546</v>
      </c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</row>
    <row r="37" spans="4:36" ht="12.75"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</row>
    <row r="38" spans="1:36" ht="12.75">
      <c r="A38" s="129" t="s">
        <v>216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</row>
    <row r="39" spans="1:36" ht="12.75">
      <c r="A39" s="1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</row>
    <row r="40" spans="1:36" ht="12.75">
      <c r="A40" s="51" t="s">
        <v>110</v>
      </c>
      <c r="D40" s="43">
        <v>693334</v>
      </c>
      <c r="E40" s="43">
        <v>66394</v>
      </c>
      <c r="F40" s="43">
        <v>0</v>
      </c>
      <c r="G40" s="43">
        <v>1200</v>
      </c>
      <c r="H40" s="43">
        <v>11687</v>
      </c>
      <c r="I40" s="43">
        <v>-11312</v>
      </c>
      <c r="J40" s="43">
        <v>13436</v>
      </c>
      <c r="K40" s="43">
        <f>SUM(D40:J40)</f>
        <v>774739</v>
      </c>
      <c r="L40" s="43">
        <v>20328</v>
      </c>
      <c r="M40" s="43">
        <f>L40+K40</f>
        <v>795067</v>
      </c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</row>
    <row r="41" spans="4:36" ht="12.75"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</row>
    <row r="42" spans="1:36" ht="12.75">
      <c r="A42" t="s">
        <v>120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f>-2618</f>
        <v>-2618</v>
      </c>
      <c r="J42" s="43">
        <v>0</v>
      </c>
      <c r="K42" s="43">
        <f>SUM(D42:J42)</f>
        <v>-2618</v>
      </c>
      <c r="L42" s="43">
        <v>0</v>
      </c>
      <c r="M42" s="43">
        <f>L42+K42</f>
        <v>-2618</v>
      </c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</row>
    <row r="43" spans="4:36" ht="12.75"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</row>
    <row r="44" spans="1:36" ht="12.75">
      <c r="A44" t="s">
        <v>187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</row>
    <row r="45" spans="1:36" ht="12.75">
      <c r="A45" t="s">
        <v>188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f>SUM(D45:J45)</f>
        <v>0</v>
      </c>
      <c r="L45" s="43">
        <f>-75</f>
        <v>-75</v>
      </c>
      <c r="M45" s="43">
        <f>L45+K45</f>
        <v>-75</v>
      </c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</row>
    <row r="46" spans="4:36" ht="12.75"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</row>
    <row r="47" spans="1:36" ht="12.75">
      <c r="A47" t="s">
        <v>190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</row>
    <row r="48" spans="1:36" ht="12.75">
      <c r="A48" t="s">
        <v>189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f>SUM(D48:J48)</f>
        <v>0</v>
      </c>
      <c r="L48" s="43">
        <f>-1907</f>
        <v>-1907</v>
      </c>
      <c r="M48" s="43">
        <f>L48+K48</f>
        <v>-1907</v>
      </c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</row>
    <row r="49" spans="4:36" ht="12.75"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</row>
    <row r="50" spans="1:36" ht="12.75">
      <c r="A50" t="s">
        <v>236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</row>
    <row r="51" spans="1:36" ht="12.75">
      <c r="A51" t="s">
        <v>237</v>
      </c>
      <c r="D51" s="43">
        <v>0</v>
      </c>
      <c r="E51" s="43">
        <f>-11905</f>
        <v>-11905</v>
      </c>
      <c r="F51" s="43">
        <v>0</v>
      </c>
      <c r="G51" s="43">
        <v>0</v>
      </c>
      <c r="H51" s="43">
        <v>0</v>
      </c>
      <c r="I51" s="43">
        <f>11905</f>
        <v>11905</v>
      </c>
      <c r="J51" s="43">
        <v>0</v>
      </c>
      <c r="K51" s="43">
        <f>SUM(D51:J51)</f>
        <v>0</v>
      </c>
      <c r="L51" s="43">
        <v>0</v>
      </c>
      <c r="M51" s="43">
        <v>0</v>
      </c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</row>
    <row r="52" spans="4:36" ht="12.75"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</row>
    <row r="53" spans="1:36" ht="12.75">
      <c r="A53" t="s">
        <v>191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</row>
    <row r="54" spans="1:36" ht="12.75">
      <c r="A54" t="s">
        <v>202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f>SUM(D54:J54)</f>
        <v>0</v>
      </c>
      <c r="L54" s="43">
        <f>-374</f>
        <v>-374</v>
      </c>
      <c r="M54" s="43">
        <f>L54+K54</f>
        <v>-374</v>
      </c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</row>
    <row r="55" spans="4:36" ht="12.75"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</row>
    <row r="56" spans="1:36" ht="12.75">
      <c r="A56" s="152" t="s">
        <v>185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</row>
    <row r="57" spans="1:36" ht="12.75">
      <c r="A57" s="152" t="s">
        <v>186</v>
      </c>
      <c r="D57" s="43">
        <v>0</v>
      </c>
      <c r="E57" s="43">
        <v>0</v>
      </c>
      <c r="F57" s="43">
        <v>0</v>
      </c>
      <c r="G57" s="43">
        <v>0</v>
      </c>
      <c r="H57" s="43">
        <f>-463-38+494</f>
        <v>-7</v>
      </c>
      <c r="I57" s="43">
        <v>0</v>
      </c>
      <c r="J57" s="43">
        <f>'P&amp;L'!J57</f>
        <v>43475</v>
      </c>
      <c r="K57" s="43">
        <f>SUM(D57:J57)</f>
        <v>43468</v>
      </c>
      <c r="L57" s="43">
        <f>'CI'!J34</f>
        <v>4954</v>
      </c>
      <c r="M57" s="43">
        <f>L57+K57</f>
        <v>48422</v>
      </c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</row>
    <row r="58" spans="4:36" ht="12.75"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</row>
    <row r="59" spans="1:36" ht="13.5" thickBot="1">
      <c r="A59" s="51" t="s">
        <v>217</v>
      </c>
      <c r="D59" s="50">
        <f>SUM(D40:D58)</f>
        <v>693334</v>
      </c>
      <c r="E59" s="50">
        <f aca="true" t="shared" si="1" ref="E59:M59">SUM(E40:E58)</f>
        <v>54489</v>
      </c>
      <c r="F59" s="50">
        <v>0</v>
      </c>
      <c r="G59" s="50">
        <f t="shared" si="1"/>
        <v>1200</v>
      </c>
      <c r="H59" s="50">
        <f t="shared" si="1"/>
        <v>11680</v>
      </c>
      <c r="I59" s="50">
        <f t="shared" si="1"/>
        <v>-2025</v>
      </c>
      <c r="J59" s="50">
        <f t="shared" si="1"/>
        <v>56911</v>
      </c>
      <c r="K59" s="50">
        <f t="shared" si="1"/>
        <v>815589</v>
      </c>
      <c r="L59" s="50">
        <f t="shared" si="1"/>
        <v>22926</v>
      </c>
      <c r="M59" s="50">
        <f t="shared" si="1"/>
        <v>838515</v>
      </c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</row>
    <row r="60" spans="4:36" ht="12.75">
      <c r="D60" s="43"/>
      <c r="E60" s="43"/>
      <c r="F60" s="43"/>
      <c r="G60" s="43"/>
      <c r="H60" s="43"/>
      <c r="I60" s="43"/>
      <c r="J60" s="43"/>
      <c r="M60" s="43">
        <f>SUM(M40:M58)-M59</f>
        <v>0</v>
      </c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</row>
    <row r="61" spans="4:36" ht="12.75"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</row>
    <row r="62" spans="4:36" ht="12.75"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</row>
    <row r="63" spans="1:36" ht="12.75">
      <c r="A63" s="183" t="s">
        <v>250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</row>
    <row r="64" spans="1:36" ht="12.75">
      <c r="A64" s="183" t="s">
        <v>141</v>
      </c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</row>
    <row r="65" spans="4:36" ht="12.75"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</row>
    <row r="66" spans="4:36" ht="12.75"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</row>
    <row r="67" spans="4:36" ht="12.75"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</row>
    <row r="68" spans="4:36" ht="12.75"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</row>
    <row r="69" spans="4:36" ht="12.75">
      <c r="D69" s="43"/>
      <c r="E69" s="43"/>
      <c r="F69" s="43"/>
      <c r="G69" s="43"/>
      <c r="H69" s="43"/>
      <c r="I69" s="43"/>
      <c r="J69" s="43"/>
      <c r="K69" s="43"/>
      <c r="L69" s="15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</row>
    <row r="70" spans="4:36" ht="12.75"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</row>
    <row r="71" spans="4:36" ht="12.75"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</row>
    <row r="72" spans="4:36" ht="12.75"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</row>
    <row r="73" spans="4:36" ht="12.75"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</row>
    <row r="74" spans="4:36" ht="12.75"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</row>
    <row r="75" spans="4:36" ht="12.75"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</row>
    <row r="76" spans="4:36" ht="12.75"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</row>
    <row r="77" spans="4:36" ht="12.75"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</row>
    <row r="78" spans="4:36" ht="12.75"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</row>
    <row r="79" spans="4:36" ht="12.75"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</row>
    <row r="80" spans="4:36" ht="12.75"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</row>
    <row r="81" spans="4:36" ht="12.75"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</row>
    <row r="82" spans="4:36" ht="12.75"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</row>
    <row r="83" spans="4:36" ht="12.75"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</row>
    <row r="84" spans="4:36" ht="12.75"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</row>
    <row r="85" spans="4:36" ht="12.75"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</row>
    <row r="86" spans="4:36" ht="12.75"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</row>
    <row r="87" spans="4:36" ht="12.75"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</row>
    <row r="88" spans="4:36" ht="12.75"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</row>
    <row r="89" spans="4:36" ht="12.75"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</row>
    <row r="90" spans="4:36" ht="12.75"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</row>
    <row r="91" spans="4:36" ht="12.75"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</row>
    <row r="92" spans="4:36" ht="12.75"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</row>
    <row r="93" spans="4:36" ht="12.75"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</row>
    <row r="94" spans="4:36" ht="12.75"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</row>
    <row r="95" spans="4:36" ht="12.75"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</row>
    <row r="96" spans="4:36" ht="12.75"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</row>
    <row r="97" spans="4:36" ht="12.75"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</row>
    <row r="98" spans="4:36" ht="12.75"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</row>
    <row r="99" spans="4:36" ht="12.75"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</row>
    <row r="100" spans="4:36" ht="12.75"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</row>
    <row r="101" spans="4:36" ht="12.75"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</row>
    <row r="102" spans="4:36" ht="12.75"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</row>
    <row r="103" spans="4:36" ht="12.75"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</row>
    <row r="104" spans="4:36" ht="12.75"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</row>
    <row r="105" spans="4:36" ht="12.75"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</row>
    <row r="106" spans="4:36" ht="12.75"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</row>
    <row r="107" spans="4:36" ht="12.75"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</row>
    <row r="108" spans="4:36" ht="12.75"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</row>
    <row r="109" spans="4:36" ht="12.75"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</row>
    <row r="110" spans="4:36" ht="12.75"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</row>
    <row r="111" spans="4:36" ht="12.75"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</row>
    <row r="112" spans="4:36" ht="12.75"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</row>
    <row r="113" spans="4:36" ht="12.75"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</row>
    <row r="114" spans="4:36" ht="12.75"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</row>
    <row r="115" spans="4:36" ht="12.75"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</row>
    <row r="116" spans="4:36" ht="12.75"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</row>
    <row r="117" spans="4:36" ht="12.75"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</row>
    <row r="118" spans="4:36" ht="12.75"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</row>
    <row r="119" spans="4:36" ht="12.75"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</row>
    <row r="120" spans="4:36" ht="12.75"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</row>
    <row r="121" spans="4:36" ht="12.75"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</row>
    <row r="122" spans="4:36" ht="12.75"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</row>
    <row r="123" spans="4:36" ht="12.75"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</row>
    <row r="124" spans="4:36" ht="12.75"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</row>
    <row r="125" spans="4:36" ht="12.75"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</row>
    <row r="126" spans="4:36" ht="12.75"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</row>
    <row r="127" spans="4:36" ht="12.75"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</row>
    <row r="128" spans="4:36" ht="12.75"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</row>
    <row r="129" spans="4:36" ht="12.75"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</row>
    <row r="130" spans="4:36" ht="12.75"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</row>
    <row r="131" spans="4:36" ht="12.75"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</row>
    <row r="132" spans="4:36" ht="12.75"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</row>
    <row r="133" spans="4:36" ht="12.75"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</row>
    <row r="134" spans="4:36" ht="12.75"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</row>
    <row r="135" spans="4:36" ht="12.75"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</row>
    <row r="136" spans="4:36" ht="12.75"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</row>
    <row r="137" spans="4:36" ht="12.75"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</row>
    <row r="138" spans="4:36" ht="12.75"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</row>
    <row r="139" spans="4:36" ht="12.75"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</row>
    <row r="140" spans="4:36" ht="12.75"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</row>
    <row r="141" spans="4:36" ht="12.75"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</row>
    <row r="142" spans="4:36" ht="12.75"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</row>
    <row r="143" spans="4:36" ht="12.75"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</row>
    <row r="144" spans="4:36" ht="12.75"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</row>
    <row r="145" spans="4:36" ht="12.75"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</row>
    <row r="146" spans="4:36" ht="12.75"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</row>
    <row r="147" spans="4:36" ht="12.75"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</row>
    <row r="148" spans="4:36" ht="12.75"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</row>
    <row r="149" spans="4:36" ht="12.75"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</row>
    <row r="150" spans="4:36" ht="12.75"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</row>
    <row r="151" spans="4:36" ht="12.75"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</row>
    <row r="152" spans="4:36" ht="12.75"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</row>
    <row r="153" spans="4:36" ht="12.75"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</row>
    <row r="154" spans="4:36" ht="12.75"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</row>
    <row r="155" spans="4:36" ht="12.75"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</row>
    <row r="156" spans="4:36" ht="12.75"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</row>
    <row r="157" spans="4:36" ht="12.75"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</row>
    <row r="158" spans="4:36" ht="12.75"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</row>
    <row r="159" spans="4:36" ht="12.75"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</row>
    <row r="160" spans="4:36" ht="12.75"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</row>
    <row r="161" spans="4:36" ht="12.75"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</row>
    <row r="162" spans="4:36" ht="12.75"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</row>
    <row r="163" spans="4:36" ht="12.75"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</row>
    <row r="164" spans="4:36" ht="12.75"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</row>
    <row r="165" spans="4:36" ht="12.75"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</row>
    <row r="166" spans="4:36" ht="12.75"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</row>
    <row r="167" spans="4:36" ht="12.75"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</row>
    <row r="168" spans="4:36" ht="12.75"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</row>
    <row r="169" spans="4:36" ht="12.75"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</row>
    <row r="170" spans="4:36" ht="12.75"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</row>
    <row r="171" spans="4:36" ht="12.75"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</row>
    <row r="172" spans="4:36" ht="12.75"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</row>
    <row r="173" spans="4:36" ht="12.75"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</row>
    <row r="174" spans="4:36" ht="12.75"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</row>
    <row r="175" spans="4:36" ht="12.75"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</row>
    <row r="176" spans="4:36" ht="12.75"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</row>
    <row r="177" spans="4:36" ht="12.75"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</row>
    <row r="178" spans="4:36" ht="12.75"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</row>
    <row r="179" spans="4:36" ht="12.75"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</row>
    <row r="180" spans="4:36" ht="12.75"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</row>
    <row r="181" spans="4:36" ht="12.75"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</row>
    <row r="182" spans="4:36" ht="12.75"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</row>
    <row r="183" spans="4:36" ht="12.75"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</row>
    <row r="184" spans="4:36" ht="12.75"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</row>
    <row r="185" spans="4:36" ht="12.75"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</row>
    <row r="186" spans="4:36" ht="12.75"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</row>
    <row r="187" spans="4:36" ht="12.75"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</row>
    <row r="188" spans="4:36" ht="12.75"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</row>
    <row r="189" spans="4:36" ht="12.75"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</row>
    <row r="190" spans="4:36" ht="12.75"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</row>
    <row r="191" spans="4:36" ht="12.75"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</row>
    <row r="192" spans="4:36" ht="12.75"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</row>
    <row r="193" spans="4:36" ht="12.75"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</row>
    <row r="194" spans="4:36" ht="12.75"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</row>
    <row r="195" spans="4:36" ht="12.75"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</row>
    <row r="196" spans="4:36" ht="12.75"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</row>
    <row r="197" spans="4:36" ht="12.75"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</row>
    <row r="198" spans="4:36" ht="12.75"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</row>
    <row r="199" spans="4:36" ht="12.75"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</row>
    <row r="200" spans="4:36" ht="12.75"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</row>
    <row r="201" spans="4:36" ht="12.75"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</row>
    <row r="202" spans="4:36" ht="12.75"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</row>
    <row r="203" spans="4:36" ht="12.75"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</row>
    <row r="204" spans="4:36" ht="12.75"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</row>
    <row r="205" spans="4:36" ht="12.75"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</row>
    <row r="206" spans="4:36" ht="12.75"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</row>
    <row r="207" spans="4:36" ht="12.75"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</row>
    <row r="208" spans="4:36" ht="12.75"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</row>
    <row r="209" spans="4:36" ht="12.75"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</row>
    <row r="210" spans="4:36" ht="12.75"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</row>
    <row r="211" spans="4:36" ht="12.75"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</row>
    <row r="212" spans="4:36" ht="12.75"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</row>
    <row r="213" spans="4:36" ht="12.75"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</row>
    <row r="214" spans="4:36" ht="12.75"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</row>
    <row r="215" spans="4:36" ht="12.75"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</row>
    <row r="216" spans="4:36" ht="12.75"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</row>
    <row r="217" spans="4:36" ht="12.75"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</row>
    <row r="218" spans="4:36" ht="12.75"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</row>
    <row r="219" spans="4:36" ht="12.75"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</row>
    <row r="220" spans="4:36" ht="12.75"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</row>
    <row r="221" spans="4:36" ht="12.75"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</row>
    <row r="222" spans="4:36" ht="12.75"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</row>
    <row r="223" spans="4:36" ht="12.75"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</row>
    <row r="224" spans="4:36" ht="12.75"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</row>
    <row r="225" spans="4:36" ht="12.75"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</row>
    <row r="226" spans="4:36" ht="12.75"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</row>
    <row r="227" spans="4:36" ht="12.75"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</row>
    <row r="228" spans="4:36" ht="12.75"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</row>
    <row r="229" spans="4:36" ht="12.75"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</row>
    <row r="230" spans="4:36" ht="12.75"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</row>
    <row r="231" spans="4:36" ht="12.75"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</row>
    <row r="232" spans="4:36" ht="12.75"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</row>
    <row r="233" spans="4:36" ht="12.75"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</row>
    <row r="234" spans="4:36" ht="12.75"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</row>
    <row r="235" spans="4:36" ht="12.75"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</row>
    <row r="236" spans="4:36" ht="12.75"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</row>
    <row r="237" spans="4:36" ht="12.75"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</row>
    <row r="238" spans="4:36" ht="12.75"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</row>
    <row r="239" spans="4:36" ht="12.75"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</row>
    <row r="240" spans="4:36" ht="12.75"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</row>
    <row r="241" spans="4:36" ht="12.75"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</row>
    <row r="242" spans="4:36" ht="12.75"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</row>
    <row r="243" spans="4:36" ht="12.75"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</row>
    <row r="244" spans="4:36" ht="12.75"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</row>
    <row r="245" spans="4:36" ht="12.75"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</row>
    <row r="246" spans="4:36" ht="12.75"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</row>
    <row r="247" spans="4:36" ht="12.75"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</row>
    <row r="248" spans="4:36" ht="12.75"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</row>
    <row r="249" spans="4:36" ht="12.75"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</row>
    <row r="250" spans="4:36" ht="12.75"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</row>
    <row r="251" spans="4:36" ht="12.75"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</row>
    <row r="252" spans="4:36" ht="12.75"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</row>
    <row r="253" spans="4:36" ht="12.75"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</row>
    <row r="254" spans="4:36" ht="12.75"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</row>
    <row r="255" spans="4:36" ht="12.75"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</row>
    <row r="256" spans="4:36" ht="12.75"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</row>
    <row r="257" spans="4:36" ht="12.75"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</row>
    <row r="258" spans="4:36" ht="12.75"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</row>
    <row r="259" spans="4:36" ht="12.75"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</row>
    <row r="260" spans="4:36" ht="12.75"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</row>
    <row r="261" spans="4:36" ht="12.75"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</row>
    <row r="262" spans="4:36" ht="12.75"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</row>
    <row r="263" spans="4:36" ht="12.75"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</row>
    <row r="264" spans="4:36" ht="12.75"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</row>
    <row r="265" spans="4:36" ht="12.75"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</row>
    <row r="266" spans="4:36" ht="12.75"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</row>
    <row r="267" spans="4:36" ht="12.75"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</row>
    <row r="268" spans="4:36" ht="12.75"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</row>
    <row r="269" spans="4:36" ht="12.75"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</row>
    <row r="270" spans="4:36" ht="12.75"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</row>
    <row r="271" spans="4:36" ht="12.75"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</row>
    <row r="272" spans="4:36" ht="12.75"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</row>
    <row r="273" spans="4:36" ht="12.75"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</row>
    <row r="274" spans="4:36" ht="12.75"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</row>
    <row r="275" spans="4:36" ht="12.75"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</row>
    <row r="276" spans="4:36" ht="12.75"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</row>
    <row r="277" spans="4:36" ht="12.75"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</row>
    <row r="278" spans="4:36" ht="12.75"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</row>
    <row r="279" spans="4:36" ht="12.75"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</row>
    <row r="280" spans="4:36" ht="12.75"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</row>
    <row r="281" spans="4:36" ht="12.75"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</row>
    <row r="282" spans="4:36" ht="12.75"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</row>
    <row r="283" spans="4:36" ht="12.75"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</row>
    <row r="284" spans="4:36" ht="12.75"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</row>
    <row r="285" spans="4:36" ht="12.75"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</row>
    <row r="286" spans="4:36" ht="12.75"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</row>
    <row r="287" spans="4:36" ht="12.75"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</row>
    <row r="288" spans="4:36" ht="12.75"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</row>
    <row r="289" spans="4:36" ht="12.75"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</row>
    <row r="290" spans="4:36" ht="12.75"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</row>
    <row r="291" spans="4:36" ht="12.75"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</row>
    <row r="292" spans="4:36" ht="12.75"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</row>
    <row r="293" spans="4:36" ht="12.75"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</row>
    <row r="294" spans="4:36" ht="12.75"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</row>
    <row r="295" spans="4:36" ht="12.75"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</row>
    <row r="296" spans="4:36" ht="12.75"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</row>
    <row r="297" spans="4:36" ht="12.75"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</row>
    <row r="298" spans="4:36" ht="12.75"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</row>
    <row r="299" spans="4:36" ht="12.75"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</row>
    <row r="300" spans="4:36" ht="12.75"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</row>
    <row r="301" spans="4:36" ht="12.75"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</row>
    <row r="302" spans="4:36" ht="12.75"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</row>
    <row r="303" spans="4:36" ht="12.75"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</row>
    <row r="304" spans="4:36" ht="12.75"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</row>
    <row r="305" spans="4:36" ht="12.75"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</row>
    <row r="306" spans="4:36" ht="12.75"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</row>
    <row r="307" spans="4:36" ht="12.75"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</row>
    <row r="308" spans="4:36" ht="12.75"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</row>
    <row r="309" spans="4:36" ht="12.75"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</row>
    <row r="310" spans="4:36" ht="12.75"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</row>
    <row r="311" spans="4:36" ht="12.75"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</row>
    <row r="312" spans="4:36" ht="12.75"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</row>
    <row r="313" spans="4:36" ht="12.75"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</row>
    <row r="314" spans="4:36" ht="12.75"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</row>
    <row r="315" spans="4:36" ht="12.75"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</row>
    <row r="316" spans="4:36" ht="12.75"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</row>
    <row r="317" spans="4:36" ht="12.75"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</row>
    <row r="318" spans="4:36" ht="12.75"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</row>
    <row r="319" spans="4:36" ht="12.75"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</row>
    <row r="320" spans="4:36" ht="12.75"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</row>
    <row r="321" spans="4:36" ht="12.75"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</row>
    <row r="322" spans="4:36" ht="12.75"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</row>
    <row r="323" spans="4:36" ht="12.75"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</row>
    <row r="324" spans="4:36" ht="12.75"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</row>
    <row r="325" spans="4:36" ht="12.75"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</row>
    <row r="326" spans="4:36" ht="12.75"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</row>
    <row r="327" spans="4:36" ht="12.75"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</row>
    <row r="328" spans="4:36" ht="12.75"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</row>
    <row r="329" spans="4:36" ht="12.75"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</row>
    <row r="330" spans="4:36" ht="12.75"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</row>
    <row r="331" spans="4:36" ht="12.75"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</row>
    <row r="332" spans="4:36" ht="12.75"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</row>
    <row r="333" spans="4:36" ht="12.75"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</row>
    <row r="334" spans="4:36" ht="12.75"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</row>
    <row r="335" spans="4:36" ht="12.75"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</row>
    <row r="336" spans="4:36" ht="12.75"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</row>
    <row r="337" spans="4:36" ht="12.75"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</row>
    <row r="338" spans="4:36" ht="12.75"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</row>
    <row r="339" spans="4:36" ht="12.75"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</row>
    <row r="340" spans="4:36" ht="12.75"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</row>
    <row r="341" spans="4:36" ht="12.75"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</row>
    <row r="342" spans="4:36" ht="12.75"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</row>
    <row r="343" spans="4:36" ht="12.75"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</row>
    <row r="344" spans="4:36" ht="12.75"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</row>
    <row r="345" spans="4:36" ht="12.75"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</row>
    <row r="346" spans="4:36" ht="12.75"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</row>
    <row r="347" spans="4:36" ht="12.75"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</row>
    <row r="348" spans="4:36" ht="12.75"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</row>
    <row r="349" spans="4:36" ht="12.75"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</row>
    <row r="350" spans="4:36" ht="12.75"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</row>
    <row r="351" spans="4:36" ht="12.75"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</row>
    <row r="352" spans="4:36" ht="12.75"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</row>
    <row r="353" spans="4:36" ht="12.75"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</row>
    <row r="354" spans="4:36" ht="12.75"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</row>
    <row r="355" spans="4:36" ht="12.75"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</row>
    <row r="356" spans="4:36" ht="12.75"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</row>
    <row r="357" spans="4:36" ht="12.75"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</row>
    <row r="358" spans="4:36" ht="12.75"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</row>
    <row r="359" spans="4:36" ht="12.75"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</row>
    <row r="360" spans="4:36" ht="12.75"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</row>
    <row r="361" spans="4:36" ht="12.75"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</row>
    <row r="362" spans="4:36" ht="12.75"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</row>
    <row r="363" spans="4:36" ht="12.75"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</row>
    <row r="364" spans="4:36" ht="12.75"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</row>
    <row r="365" spans="4:36" ht="12.75"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</row>
    <row r="366" spans="4:36" ht="12.75"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</row>
    <row r="367" spans="4:36" ht="12.75"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</row>
    <row r="368" spans="4:36" ht="12.75"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</row>
    <row r="369" spans="4:36" ht="12.75"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</row>
    <row r="370" spans="4:36" ht="12.75"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</row>
    <row r="371" spans="4:36" ht="12.75"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</row>
    <row r="372" spans="4:36" ht="12.75"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</row>
    <row r="373" spans="4:36" ht="12.75"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</row>
    <row r="374" spans="4:36" ht="12.75"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</row>
    <row r="375" spans="4:36" ht="12.75"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</row>
    <row r="376" spans="4:36" ht="12.75"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</row>
    <row r="377" spans="4:36" ht="12.75"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</row>
    <row r="378" spans="4:36" ht="12.75"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</row>
    <row r="379" spans="4:36" ht="12.75"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</row>
    <row r="380" spans="4:36" ht="12.75"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</row>
    <row r="381" spans="4:36" ht="12.75"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</row>
    <row r="382" spans="4:36" ht="12.75"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</row>
    <row r="383" spans="4:36" ht="12.75"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</row>
    <row r="384" spans="4:36" ht="12.75"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</row>
    <row r="385" spans="4:36" ht="12.75"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</row>
    <row r="386" spans="4:36" ht="12.75"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</row>
    <row r="387" spans="4:36" ht="12.75"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</row>
    <row r="388" spans="4:36" ht="12.75"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</row>
    <row r="389" spans="4:36" ht="12.75"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</row>
    <row r="390" spans="4:36" ht="12.75"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</row>
    <row r="391" spans="4:36" ht="12.75"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</row>
    <row r="392" spans="4:36" ht="12.75"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</row>
    <row r="393" spans="4:36" ht="12.75"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</row>
    <row r="394" spans="4:36" ht="12.75"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</row>
    <row r="395" spans="4:36" ht="12.75"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</row>
    <row r="396" spans="4:36" ht="12.75"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</row>
    <row r="397" spans="4:36" ht="12.75"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</row>
    <row r="398" spans="4:36" ht="12.75"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</row>
    <row r="399" spans="4:36" ht="12.75"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</row>
    <row r="400" spans="4:36" ht="12.75"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</row>
    <row r="401" spans="4:36" ht="12.75"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</row>
    <row r="402" spans="4:36" ht="12.75"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</row>
    <row r="403" spans="4:36" ht="12.75"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</row>
    <row r="404" spans="4:36" ht="12.75"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</row>
    <row r="405" spans="4:36" ht="12.75"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</row>
    <row r="406" spans="4:36" ht="12.75"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</row>
    <row r="407" spans="4:36" ht="12.75"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</row>
    <row r="408" spans="4:36" ht="12.75"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</row>
    <row r="409" spans="4:36" ht="12.75"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</row>
    <row r="410" spans="4:36" ht="12.75"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</row>
    <row r="411" spans="4:36" ht="12.75"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</row>
    <row r="412" spans="4:36" ht="12.75"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</row>
    <row r="413" spans="4:36" ht="12.75"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</row>
    <row r="414" spans="4:36" ht="12.75"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</row>
    <row r="415" spans="4:36" ht="12.75"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</row>
    <row r="416" spans="4:36" ht="12.75"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</row>
    <row r="417" spans="4:36" ht="12.75"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</row>
    <row r="418" spans="4:36" ht="12.75"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</row>
    <row r="419" spans="4:36" ht="12.75"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</row>
    <row r="420" spans="4:36" ht="12.75"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</row>
    <row r="421" spans="4:36" ht="12.75"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</row>
    <row r="422" spans="4:36" ht="12.75"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</row>
    <row r="423" spans="4:36" ht="12.75"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</row>
    <row r="424" spans="4:36" ht="12.75"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</row>
    <row r="425" spans="4:36" ht="12.75"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</row>
    <row r="426" spans="4:36" ht="12.75"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</row>
    <row r="427" spans="4:36" ht="12.75"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</row>
    <row r="428" spans="4:36" ht="12.75"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</row>
    <row r="429" spans="4:36" ht="12.75"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</row>
    <row r="430" spans="4:36" ht="12.75"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</row>
    <row r="431" spans="4:36" ht="12.75"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</row>
    <row r="432" spans="4:36" ht="12.75"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</row>
    <row r="433" spans="4:36" ht="12.75"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</row>
    <row r="434" spans="4:36" ht="12.75"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</row>
    <row r="435" spans="4:36" ht="12.75"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</row>
    <row r="436" spans="4:36" ht="12.75"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</row>
    <row r="437" spans="4:36" ht="12.75"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</row>
  </sheetData>
  <mergeCells count="5">
    <mergeCell ref="A64:M64"/>
    <mergeCell ref="A63:M63"/>
    <mergeCell ref="A1:K1"/>
    <mergeCell ref="A2:K2"/>
    <mergeCell ref="A3:K3"/>
  </mergeCells>
  <printOptions/>
  <pageMargins left="0.53" right="0" top="0.5" bottom="0.25" header="0.5" footer="0.5"/>
  <pageSetup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75" zoomScaleNormal="75" workbookViewId="0" topLeftCell="A12">
      <selection activeCell="H27" sqref="H27"/>
    </sheetView>
  </sheetViews>
  <sheetFormatPr defaultColWidth="9.140625" defaultRowHeight="12.75"/>
  <cols>
    <col min="1" max="1" width="36.7109375" style="0" customWidth="1"/>
    <col min="2" max="2" width="12.7109375" style="0" customWidth="1"/>
    <col min="3" max="3" width="3.7109375" style="0" customWidth="1"/>
    <col min="4" max="4" width="18.7109375" style="0" customWidth="1"/>
    <col min="5" max="5" width="3.7109375" style="0" customWidth="1"/>
    <col min="6" max="6" width="28.7109375" style="0" customWidth="1"/>
    <col min="7" max="7" width="3.7109375" style="0" customWidth="1"/>
    <col min="8" max="8" width="18.7109375" style="0" customWidth="1"/>
    <col min="9" max="9" width="3.7109375" style="0" customWidth="1"/>
    <col min="10" max="10" width="25.7109375" style="0" customWidth="1"/>
  </cols>
  <sheetData>
    <row r="1" spans="1:10" ht="15.75">
      <c r="A1" s="187" t="s">
        <v>3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2.75">
      <c r="A2" s="188" t="s">
        <v>19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12.75">
      <c r="A3" s="188" t="s">
        <v>20</v>
      </c>
      <c r="B3" s="188"/>
      <c r="C3" s="188"/>
      <c r="D3" s="188"/>
      <c r="E3" s="188"/>
      <c r="F3" s="188"/>
      <c r="G3" s="188"/>
      <c r="H3" s="188"/>
      <c r="I3" s="188"/>
      <c r="J3" s="188"/>
    </row>
    <row r="5" spans="1:10" ht="13.5" thickBot="1">
      <c r="A5" s="54" t="s">
        <v>207</v>
      </c>
      <c r="B5" s="20"/>
      <c r="C5" s="20"/>
      <c r="D5" s="20"/>
      <c r="E5" s="20"/>
      <c r="F5" s="20"/>
      <c r="G5" s="20"/>
      <c r="H5" s="33"/>
      <c r="I5" s="33"/>
      <c r="J5" s="20"/>
    </row>
    <row r="6" spans="1:9" ht="12.75">
      <c r="A6" s="4"/>
      <c r="H6" s="4"/>
      <c r="I6" s="4"/>
    </row>
    <row r="7" spans="1:9" ht="12.75">
      <c r="A7" s="27" t="s">
        <v>169</v>
      </c>
      <c r="B7" s="4"/>
      <c r="C7" s="4"/>
      <c r="D7" s="4"/>
      <c r="E7" s="4"/>
      <c r="F7" s="4"/>
      <c r="G7" s="4"/>
      <c r="H7" s="4"/>
      <c r="I7" s="4"/>
    </row>
    <row r="8" spans="1:10" ht="12.75">
      <c r="A8" s="27"/>
      <c r="B8" s="4"/>
      <c r="C8" s="4"/>
      <c r="D8" s="4"/>
      <c r="E8" s="4"/>
      <c r="F8" s="21"/>
      <c r="G8" s="21"/>
      <c r="H8" s="21"/>
      <c r="I8" s="21"/>
      <c r="J8" s="78"/>
    </row>
    <row r="9" spans="1:9" ht="12.75">
      <c r="A9" s="4"/>
      <c r="B9" s="4"/>
      <c r="C9" s="4"/>
      <c r="D9" s="4"/>
      <c r="E9" s="4"/>
      <c r="F9" s="4"/>
      <c r="G9" s="4"/>
      <c r="H9" s="4"/>
      <c r="I9" s="4"/>
    </row>
    <row r="10" spans="1:10" ht="12.75">
      <c r="A10" s="4"/>
      <c r="B10" s="4"/>
      <c r="C10" s="4"/>
      <c r="D10" s="189" t="s">
        <v>46</v>
      </c>
      <c r="E10" s="190"/>
      <c r="F10" s="191"/>
      <c r="G10" s="17"/>
      <c r="H10" s="192" t="s">
        <v>8</v>
      </c>
      <c r="I10" s="193"/>
      <c r="J10" s="194"/>
    </row>
    <row r="11" spans="1:10" ht="12.75">
      <c r="A11" s="4"/>
      <c r="B11" s="4"/>
      <c r="C11" s="4"/>
      <c r="D11" s="135" t="s">
        <v>147</v>
      </c>
      <c r="E11" s="16"/>
      <c r="F11" s="58" t="s">
        <v>108</v>
      </c>
      <c r="G11" s="21"/>
      <c r="H11" s="135" t="s">
        <v>147</v>
      </c>
      <c r="I11" s="16"/>
      <c r="J11" s="58" t="s">
        <v>108</v>
      </c>
    </row>
    <row r="12" spans="1:10" ht="12.75">
      <c r="A12" s="4"/>
      <c r="B12" s="4"/>
      <c r="C12" s="4"/>
      <c r="D12" s="136" t="s">
        <v>101</v>
      </c>
      <c r="E12" s="16"/>
      <c r="F12" s="58" t="s">
        <v>18</v>
      </c>
      <c r="G12" s="21"/>
      <c r="H12" s="136" t="s">
        <v>149</v>
      </c>
      <c r="I12" s="16"/>
      <c r="J12" s="74" t="s">
        <v>54</v>
      </c>
    </row>
    <row r="13" spans="1:10" ht="12.75">
      <c r="A13" s="4"/>
      <c r="B13" s="4"/>
      <c r="C13" s="4"/>
      <c r="D13" s="136" t="s">
        <v>16</v>
      </c>
      <c r="E13" s="16"/>
      <c r="F13" s="74" t="s">
        <v>103</v>
      </c>
      <c r="G13" s="21"/>
      <c r="H13" s="135" t="s">
        <v>15</v>
      </c>
      <c r="I13" s="16"/>
      <c r="J13" s="74" t="s">
        <v>148</v>
      </c>
    </row>
    <row r="14" spans="1:10" ht="12.75">
      <c r="A14" s="4"/>
      <c r="B14" s="4"/>
      <c r="C14" s="4"/>
      <c r="D14" s="137">
        <v>40633</v>
      </c>
      <c r="E14" s="18"/>
      <c r="F14" s="75">
        <v>40268</v>
      </c>
      <c r="G14" s="22"/>
      <c r="H14" s="137">
        <v>40633</v>
      </c>
      <c r="I14" s="63"/>
      <c r="J14" s="59">
        <v>40268</v>
      </c>
    </row>
    <row r="15" spans="1:10" ht="12.75">
      <c r="A15" s="4"/>
      <c r="B15" s="21"/>
      <c r="C15" s="4"/>
      <c r="D15" s="135" t="s">
        <v>5</v>
      </c>
      <c r="E15" s="18"/>
      <c r="F15" s="58" t="s">
        <v>5</v>
      </c>
      <c r="G15" s="21"/>
      <c r="H15" s="135" t="s">
        <v>6</v>
      </c>
      <c r="I15" s="16"/>
      <c r="J15" s="58" t="s">
        <v>6</v>
      </c>
    </row>
    <row r="16" spans="1:10" ht="12.75">
      <c r="A16" s="4"/>
      <c r="B16" s="21"/>
      <c r="C16" s="4"/>
      <c r="D16" s="135"/>
      <c r="E16" s="18"/>
      <c r="F16" s="58"/>
      <c r="G16" s="21"/>
      <c r="H16" s="135"/>
      <c r="I16" s="16"/>
      <c r="J16" s="58"/>
    </row>
    <row r="17" spans="1:10" ht="12.75">
      <c r="A17" s="42"/>
      <c r="B17" s="21"/>
      <c r="C17" s="4"/>
      <c r="D17" s="135"/>
      <c r="E17" s="18"/>
      <c r="F17" s="58"/>
      <c r="G17" s="21"/>
      <c r="H17" s="135"/>
      <c r="I17" s="16"/>
      <c r="J17" s="58"/>
    </row>
    <row r="18" spans="1:10" ht="12.75">
      <c r="A18" s="42" t="s">
        <v>243</v>
      </c>
      <c r="B18" s="43"/>
      <c r="C18" s="43"/>
      <c r="D18" s="139">
        <f>'P&amp;L'!D49</f>
        <v>23749.52852244236</v>
      </c>
      <c r="E18" s="44"/>
      <c r="F18" s="80">
        <f>'P&amp;L'!F49</f>
        <v>2211</v>
      </c>
      <c r="G18" s="43"/>
      <c r="H18" s="139">
        <f>'P&amp;L'!H49</f>
        <v>62880.52852244236</v>
      </c>
      <c r="I18" s="44"/>
      <c r="J18" s="77">
        <f>'P&amp;L'!J49</f>
        <v>48528</v>
      </c>
    </row>
    <row r="19" spans="2:10" ht="12.75">
      <c r="B19" s="43"/>
      <c r="C19" s="43"/>
      <c r="D19" s="139"/>
      <c r="E19" s="44"/>
      <c r="F19" s="80"/>
      <c r="G19" s="43"/>
      <c r="H19" s="139"/>
      <c r="I19" s="44"/>
      <c r="J19" s="77"/>
    </row>
    <row r="20" spans="1:10" ht="15">
      <c r="A20" s="165" t="s">
        <v>170</v>
      </c>
      <c r="B20" s="43"/>
      <c r="C20" s="43"/>
      <c r="D20" s="139"/>
      <c r="E20" s="44"/>
      <c r="F20" s="80"/>
      <c r="G20" s="43"/>
      <c r="H20" s="139"/>
      <c r="I20" s="44"/>
      <c r="J20" s="45"/>
    </row>
    <row r="21" spans="1:10" ht="12.75">
      <c r="A21" s="42" t="s">
        <v>244</v>
      </c>
      <c r="B21" s="43"/>
      <c r="C21" s="43"/>
      <c r="D21" s="139"/>
      <c r="E21" s="44"/>
      <c r="F21" s="80"/>
      <c r="G21" s="43"/>
      <c r="H21" s="139"/>
      <c r="I21" s="44"/>
      <c r="J21" s="45"/>
    </row>
    <row r="22" spans="1:10" ht="12.75">
      <c r="A22" s="47" t="s">
        <v>246</v>
      </c>
      <c r="B22" s="43"/>
      <c r="C22" s="43"/>
      <c r="D22" s="139">
        <f>0</f>
        <v>0</v>
      </c>
      <c r="E22" s="44"/>
      <c r="F22" s="80">
        <v>0</v>
      </c>
      <c r="G22" s="43"/>
      <c r="H22" s="139">
        <f>-231+D22-92</f>
        <v>-323</v>
      </c>
      <c r="I22" s="44"/>
      <c r="J22" s="45">
        <v>0</v>
      </c>
    </row>
    <row r="23" spans="1:10" ht="12.75">
      <c r="A23" s="47" t="s">
        <v>245</v>
      </c>
      <c r="B23" s="43"/>
      <c r="C23" s="43"/>
      <c r="D23" s="139">
        <f>1747</f>
        <v>1747</v>
      </c>
      <c r="E23" s="44"/>
      <c r="F23" s="80">
        <v>0</v>
      </c>
      <c r="G23" s="43"/>
      <c r="H23" s="139">
        <f>1326+D23+5899</f>
        <v>8972</v>
      </c>
      <c r="I23" s="44"/>
      <c r="J23" s="45">
        <v>0</v>
      </c>
    </row>
    <row r="24" spans="1:10" ht="12.75">
      <c r="A24" s="42" t="s">
        <v>184</v>
      </c>
      <c r="B24" s="21"/>
      <c r="C24" s="43"/>
      <c r="D24" s="139">
        <f>-1217-53+4-1</f>
        <v>-1267</v>
      </c>
      <c r="E24" s="44"/>
      <c r="F24" s="110">
        <f>494-104</f>
        <v>390</v>
      </c>
      <c r="G24" s="43"/>
      <c r="H24" s="139">
        <f>-847+D24-581</f>
        <v>-2695</v>
      </c>
      <c r="I24" s="44"/>
      <c r="J24" s="110">
        <f>-496+F24</f>
        <v>-106</v>
      </c>
    </row>
    <row r="25" spans="1:10" ht="12.75">
      <c r="A25" s="42"/>
      <c r="B25" s="21"/>
      <c r="C25" s="43"/>
      <c r="D25" s="162"/>
      <c r="E25" s="44"/>
      <c r="F25" s="169"/>
      <c r="G25" s="43"/>
      <c r="H25" s="162"/>
      <c r="I25" s="44"/>
      <c r="J25" s="169"/>
    </row>
    <row r="26" spans="1:10" ht="12.75">
      <c r="A26" s="42" t="s">
        <v>247</v>
      </c>
      <c r="B26" s="21"/>
      <c r="C26" s="43"/>
      <c r="D26" s="139"/>
      <c r="E26" s="44"/>
      <c r="F26" s="110"/>
      <c r="G26" s="43"/>
      <c r="H26" s="139"/>
      <c r="I26" s="44"/>
      <c r="J26" s="110"/>
    </row>
    <row r="27" spans="1:10" ht="12.75">
      <c r="A27" s="42" t="s">
        <v>248</v>
      </c>
      <c r="B27" s="21"/>
      <c r="C27" s="43"/>
      <c r="D27" s="140">
        <f>SUM(D22:D24)</f>
        <v>480</v>
      </c>
      <c r="E27" s="44"/>
      <c r="F27" s="170">
        <f>F24</f>
        <v>390</v>
      </c>
      <c r="G27" s="43"/>
      <c r="H27" s="140">
        <f>SUM(H22:H24)</f>
        <v>5954</v>
      </c>
      <c r="I27" s="44"/>
      <c r="J27" s="170">
        <f>J24</f>
        <v>-106</v>
      </c>
    </row>
    <row r="28" spans="1:10" ht="12.75">
      <c r="A28" s="42"/>
      <c r="B28" s="21"/>
      <c r="C28" s="43"/>
      <c r="D28" s="139"/>
      <c r="E28" s="44"/>
      <c r="F28" s="110"/>
      <c r="G28" s="43"/>
      <c r="H28" s="139"/>
      <c r="I28" s="44"/>
      <c r="J28" s="110"/>
    </row>
    <row r="29" spans="1:10" ht="12.75">
      <c r="A29" s="104" t="s">
        <v>171</v>
      </c>
      <c r="B29" s="65"/>
      <c r="C29" s="43"/>
      <c r="D29" s="139"/>
      <c r="E29" s="44"/>
      <c r="F29" s="45"/>
      <c r="G29" s="43"/>
      <c r="H29" s="139"/>
      <c r="I29" s="44"/>
      <c r="J29" s="45"/>
    </row>
    <row r="30" spans="1:10" ht="13.5" thickBot="1">
      <c r="A30" s="104" t="s">
        <v>249</v>
      </c>
      <c r="B30" s="65"/>
      <c r="C30" s="43"/>
      <c r="D30" s="141">
        <f>D27+D18</f>
        <v>24229.52852244236</v>
      </c>
      <c r="E30" s="44"/>
      <c r="F30" s="92">
        <f>F27+F18</f>
        <v>2601</v>
      </c>
      <c r="G30" s="43"/>
      <c r="H30" s="141">
        <f>H27+H18</f>
        <v>68834.52852244236</v>
      </c>
      <c r="I30" s="44"/>
      <c r="J30" s="92">
        <f>J27+J18</f>
        <v>48422</v>
      </c>
    </row>
    <row r="31" spans="1:10" ht="12.75">
      <c r="A31" s="42"/>
      <c r="B31" s="65"/>
      <c r="C31" s="43"/>
      <c r="D31" s="139"/>
      <c r="E31" s="44"/>
      <c r="F31" s="45"/>
      <c r="G31" s="43"/>
      <c r="H31" s="139"/>
      <c r="I31" s="44"/>
      <c r="J31" s="45"/>
    </row>
    <row r="32" spans="1:10" ht="12.75">
      <c r="A32" s="53" t="s">
        <v>154</v>
      </c>
      <c r="B32" s="43"/>
      <c r="C32" s="43"/>
      <c r="D32" s="139"/>
      <c r="E32" s="44"/>
      <c r="F32" s="45"/>
      <c r="G32" s="43"/>
      <c r="H32" s="139"/>
      <c r="I32" s="44"/>
      <c r="J32" s="45"/>
    </row>
    <row r="33" spans="1:10" ht="12.75">
      <c r="A33" s="53" t="s">
        <v>150</v>
      </c>
      <c r="B33" s="43"/>
      <c r="C33" s="43"/>
      <c r="D33" s="139">
        <f>D36-D34</f>
        <v>24129.52852244236</v>
      </c>
      <c r="E33" s="44"/>
      <c r="F33" s="45">
        <f>F36-F34</f>
        <v>1185</v>
      </c>
      <c r="G33" s="43"/>
      <c r="H33" s="139">
        <f>H36-H34</f>
        <v>68785.52852244236</v>
      </c>
      <c r="I33" s="44"/>
      <c r="J33" s="45">
        <f>J36-J34</f>
        <v>43468</v>
      </c>
    </row>
    <row r="34" spans="1:10" ht="12.75">
      <c r="A34" s="42" t="s">
        <v>134</v>
      </c>
      <c r="B34" s="43"/>
      <c r="C34" s="43"/>
      <c r="D34" s="139">
        <f>100</f>
        <v>100</v>
      </c>
      <c r="E34" s="44"/>
      <c r="F34" s="45">
        <f>4954-3538</f>
        <v>1416</v>
      </c>
      <c r="G34" s="43"/>
      <c r="H34" s="139">
        <f>-198+D34+147</f>
        <v>49</v>
      </c>
      <c r="I34" s="44"/>
      <c r="J34" s="45">
        <f>5053-99</f>
        <v>4954</v>
      </c>
    </row>
    <row r="35" spans="1:10" ht="12.75">
      <c r="A35" s="42"/>
      <c r="B35" s="43"/>
      <c r="C35" s="43"/>
      <c r="D35" s="139"/>
      <c r="E35" s="44"/>
      <c r="F35" s="45"/>
      <c r="G35" s="43"/>
      <c r="H35" s="139"/>
      <c r="I35" s="44"/>
      <c r="J35" s="45"/>
    </row>
    <row r="36" spans="1:10" ht="13.5" thickBot="1">
      <c r="A36" s="53"/>
      <c r="B36" s="43"/>
      <c r="C36" s="43"/>
      <c r="D36" s="142">
        <f>D30</f>
        <v>24229.52852244236</v>
      </c>
      <c r="E36" s="44"/>
      <c r="F36" s="61">
        <f>2601</f>
        <v>2601</v>
      </c>
      <c r="G36" s="43"/>
      <c r="H36" s="142">
        <f>H30</f>
        <v>68834.52852244236</v>
      </c>
      <c r="I36" s="44"/>
      <c r="J36" s="61">
        <f>48422</f>
        <v>48422</v>
      </c>
    </row>
    <row r="40" spans="1:10" ht="12.75">
      <c r="A40" s="186" t="s">
        <v>168</v>
      </c>
      <c r="B40" s="186"/>
      <c r="C40" s="186"/>
      <c r="D40" s="186"/>
      <c r="E40" s="186"/>
      <c r="F40" s="186"/>
      <c r="G40" s="186"/>
      <c r="H40" s="186"/>
      <c r="I40" s="186"/>
      <c r="J40" s="186"/>
    </row>
    <row r="41" spans="1:10" ht="12.75">
      <c r="A41" s="183" t="s">
        <v>142</v>
      </c>
      <c r="B41" s="183"/>
      <c r="C41" s="183"/>
      <c r="D41" s="183"/>
      <c r="E41" s="183"/>
      <c r="F41" s="183"/>
      <c r="G41" s="183"/>
      <c r="H41" s="183"/>
      <c r="I41" s="183"/>
      <c r="J41" s="183"/>
    </row>
  </sheetData>
  <mergeCells count="7">
    <mergeCell ref="A40:J40"/>
    <mergeCell ref="A41:J41"/>
    <mergeCell ref="A1:J1"/>
    <mergeCell ref="A2:J2"/>
    <mergeCell ref="A3:J3"/>
    <mergeCell ref="D10:F10"/>
    <mergeCell ref="H10:J10"/>
  </mergeCells>
  <printOptions/>
  <pageMargins left="0.75" right="0.75" top="1" bottom="1" header="0.5" footer="0.5"/>
  <pageSetup fitToHeight="1" fitToWidth="1" horizontalDpi="600" verticalDpi="600" orientation="portrait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86"/>
  <sheetViews>
    <sheetView tabSelected="1" zoomScale="75" zoomScaleNormal="75" workbookViewId="0" topLeftCell="A32">
      <selection activeCell="A63" sqref="A63"/>
    </sheetView>
  </sheetViews>
  <sheetFormatPr defaultColWidth="9.140625" defaultRowHeight="12.75"/>
  <cols>
    <col min="1" max="1" width="32.7109375" style="0" customWidth="1"/>
    <col min="2" max="2" width="12.7109375" style="0" customWidth="1"/>
    <col min="3" max="3" width="3.7109375" style="0" customWidth="1"/>
    <col min="4" max="4" width="18.7109375" style="0" customWidth="1"/>
    <col min="5" max="5" width="1.7109375" style="0" customWidth="1"/>
    <col min="6" max="6" width="28.8515625" style="0" customWidth="1"/>
    <col min="7" max="7" width="1.7109375" style="0" customWidth="1"/>
    <col min="8" max="8" width="18.7109375" style="0" customWidth="1"/>
    <col min="9" max="9" width="1.7109375" style="0" customWidth="1"/>
    <col min="10" max="10" width="21.7109375" style="0" customWidth="1"/>
    <col min="11" max="11" width="14.28125" style="0" customWidth="1"/>
    <col min="12" max="12" width="18.7109375" style="0" customWidth="1"/>
    <col min="13" max="17" width="15.7109375" style="0" customWidth="1"/>
  </cols>
  <sheetData>
    <row r="2" spans="1:10" ht="15.75" customHeight="1">
      <c r="A2" s="187" t="s">
        <v>3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2.75">
      <c r="A3" s="188" t="s">
        <v>19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2.75">
      <c r="A4" s="188" t="s">
        <v>20</v>
      </c>
      <c r="B4" s="188"/>
      <c r="C4" s="188"/>
      <c r="D4" s="188"/>
      <c r="E4" s="188"/>
      <c r="F4" s="188"/>
      <c r="G4" s="188"/>
      <c r="H4" s="188"/>
      <c r="I4" s="188"/>
      <c r="J4" s="188"/>
    </row>
    <row r="6" spans="1:10" ht="12.75">
      <c r="A6" s="96" t="s">
        <v>238</v>
      </c>
      <c r="J6" s="98"/>
    </row>
    <row r="7" spans="1:10" ht="12.75">
      <c r="A7" s="34"/>
      <c r="J7" s="107"/>
    </row>
    <row r="8" ht="12.75">
      <c r="A8" s="73" t="s">
        <v>53</v>
      </c>
    </row>
    <row r="9" ht="12.75">
      <c r="A9" s="34" t="s">
        <v>21</v>
      </c>
    </row>
    <row r="10" ht="12.75">
      <c r="A10" s="34" t="s">
        <v>22</v>
      </c>
    </row>
    <row r="11" ht="12.75">
      <c r="A11" s="34" t="s">
        <v>23</v>
      </c>
    </row>
    <row r="12" ht="12.75">
      <c r="A12" s="32"/>
    </row>
    <row r="13" spans="1:10" ht="13.5" thickBot="1">
      <c r="A13" s="54" t="s">
        <v>207</v>
      </c>
      <c r="B13" s="20"/>
      <c r="C13" s="20"/>
      <c r="D13" s="20"/>
      <c r="E13" s="20"/>
      <c r="F13" s="20"/>
      <c r="G13" s="20"/>
      <c r="H13" s="33"/>
      <c r="I13" s="33"/>
      <c r="J13" s="20"/>
    </row>
    <row r="14" spans="1:9" ht="12.75">
      <c r="A14" s="4"/>
      <c r="H14" s="4"/>
      <c r="I14" s="4"/>
    </row>
    <row r="15" spans="1:9" ht="12.75">
      <c r="A15" s="27" t="s">
        <v>166</v>
      </c>
      <c r="B15" s="4"/>
      <c r="C15" s="4"/>
      <c r="D15" s="4"/>
      <c r="E15" s="4"/>
      <c r="F15" s="4"/>
      <c r="G15" s="4"/>
      <c r="H15" s="4"/>
      <c r="I15" s="4"/>
    </row>
    <row r="16" spans="1:10" ht="12.75">
      <c r="A16" s="27"/>
      <c r="B16" s="4"/>
      <c r="C16" s="4"/>
      <c r="D16" s="4"/>
      <c r="E16" s="4"/>
      <c r="F16" s="21"/>
      <c r="G16" s="21"/>
      <c r="H16" s="21"/>
      <c r="I16" s="21"/>
      <c r="J16" s="78"/>
    </row>
    <row r="17" spans="1:9" ht="12.75">
      <c r="A17" s="4"/>
      <c r="B17" s="4"/>
      <c r="C17" s="4"/>
      <c r="D17" s="4"/>
      <c r="E17" s="4"/>
      <c r="F17" s="4"/>
      <c r="G17" s="4"/>
      <c r="H17" s="4"/>
      <c r="I17" s="4"/>
    </row>
    <row r="18" spans="1:10" ht="12.75">
      <c r="A18" s="4"/>
      <c r="B18" s="4"/>
      <c r="C18" s="4"/>
      <c r="D18" s="189" t="s">
        <v>46</v>
      </c>
      <c r="E18" s="190"/>
      <c r="F18" s="191"/>
      <c r="G18" s="17"/>
      <c r="H18" s="192" t="s">
        <v>8</v>
      </c>
      <c r="I18" s="193"/>
      <c r="J18" s="194"/>
    </row>
    <row r="19" spans="1:15" ht="12.75">
      <c r="A19" s="4"/>
      <c r="B19" s="4"/>
      <c r="C19" s="4"/>
      <c r="D19" s="135" t="s">
        <v>147</v>
      </c>
      <c r="E19" s="16"/>
      <c r="F19" s="58" t="s">
        <v>108</v>
      </c>
      <c r="G19" s="21"/>
      <c r="H19" s="135" t="s">
        <v>147</v>
      </c>
      <c r="I19" s="16"/>
      <c r="J19" s="58" t="s">
        <v>108</v>
      </c>
      <c r="L19" s="66"/>
      <c r="M19" s="66"/>
      <c r="N19" s="66"/>
      <c r="O19" s="101"/>
    </row>
    <row r="20" spans="1:10" ht="12.75">
      <c r="A20" s="4"/>
      <c r="B20" s="4"/>
      <c r="C20" s="4"/>
      <c r="D20" s="136" t="s">
        <v>101</v>
      </c>
      <c r="E20" s="16"/>
      <c r="F20" s="58" t="s">
        <v>18</v>
      </c>
      <c r="G20" s="21"/>
      <c r="H20" s="136" t="s">
        <v>149</v>
      </c>
      <c r="I20" s="16"/>
      <c r="J20" s="74" t="s">
        <v>54</v>
      </c>
    </row>
    <row r="21" spans="1:10" ht="12.75">
      <c r="A21" s="4"/>
      <c r="B21" s="4"/>
      <c r="C21" s="4"/>
      <c r="D21" s="136" t="s">
        <v>16</v>
      </c>
      <c r="E21" s="16"/>
      <c r="F21" s="74" t="s">
        <v>103</v>
      </c>
      <c r="G21" s="21"/>
      <c r="H21" s="135" t="s">
        <v>15</v>
      </c>
      <c r="I21" s="16"/>
      <c r="J21" s="74" t="s">
        <v>148</v>
      </c>
    </row>
    <row r="22" spans="1:10" ht="12.75">
      <c r="A22" s="4"/>
      <c r="B22" s="4"/>
      <c r="C22" s="4"/>
      <c r="D22" s="137">
        <v>40633</v>
      </c>
      <c r="E22" s="18"/>
      <c r="F22" s="75">
        <v>40268</v>
      </c>
      <c r="G22" s="22"/>
      <c r="H22" s="137">
        <v>40633</v>
      </c>
      <c r="I22" s="63"/>
      <c r="J22" s="59">
        <v>40268</v>
      </c>
    </row>
    <row r="23" spans="1:10" ht="12.75">
      <c r="A23" s="4"/>
      <c r="B23" s="21" t="s">
        <v>113</v>
      </c>
      <c r="C23" s="4"/>
      <c r="D23" s="135" t="s">
        <v>5</v>
      </c>
      <c r="E23" s="18"/>
      <c r="F23" s="58" t="s">
        <v>5</v>
      </c>
      <c r="G23" s="21"/>
      <c r="H23" s="135" t="s">
        <v>6</v>
      </c>
      <c r="I23" s="16"/>
      <c r="J23" s="58" t="s">
        <v>6</v>
      </c>
    </row>
    <row r="24" spans="4:10" ht="12.75">
      <c r="D24" s="138"/>
      <c r="E24" s="18"/>
      <c r="F24" s="60"/>
      <c r="H24" s="138"/>
      <c r="I24" s="18"/>
      <c r="J24" s="60"/>
    </row>
    <row r="25" spans="1:18" ht="12.75">
      <c r="A25" s="42" t="s">
        <v>17</v>
      </c>
      <c r="B25" s="43"/>
      <c r="C25" s="43"/>
      <c r="D25" s="139">
        <f>H25-75865-45480</f>
        <v>58252.519392169925</v>
      </c>
      <c r="E25" s="44"/>
      <c r="F25" s="80">
        <f>98968</f>
        <v>98968</v>
      </c>
      <c r="G25" s="43"/>
      <c r="H25" s="139">
        <f>'[2]M-GER95A.XLS'!$V$186</f>
        <v>179597.51939216992</v>
      </c>
      <c r="I25" s="44"/>
      <c r="J25" s="77">
        <f>202548+F25</f>
        <v>301516</v>
      </c>
      <c r="K25" s="46"/>
      <c r="P25" s="46"/>
      <c r="Q25" s="46"/>
      <c r="R25" s="46"/>
    </row>
    <row r="26" spans="1:18" ht="12.75">
      <c r="A26" s="42"/>
      <c r="B26" s="43"/>
      <c r="C26" s="43"/>
      <c r="D26" s="139"/>
      <c r="E26" s="44"/>
      <c r="F26" s="80"/>
      <c r="G26" s="43"/>
      <c r="H26" s="139"/>
      <c r="I26" s="44"/>
      <c r="J26" s="45"/>
      <c r="K26" s="46"/>
      <c r="P26" s="46"/>
      <c r="Q26" s="46"/>
      <c r="R26" s="46"/>
    </row>
    <row r="27" spans="1:18" ht="12.75">
      <c r="A27" s="42" t="s">
        <v>68</v>
      </c>
      <c r="B27" s="43"/>
      <c r="C27" s="43"/>
      <c r="D27" s="139">
        <f>H27+62075+34471</f>
        <v>-41941.58903718987</v>
      </c>
      <c r="E27" s="44"/>
      <c r="F27" s="80">
        <f>-75238</f>
        <v>-75238</v>
      </c>
      <c r="G27" s="43"/>
      <c r="H27" s="139">
        <f>-'[2]M-GER95A.XLS'!$Q$694-'[2]M-GER95A.XLS'!$Q$705-'[2]M-GER95A.XLS'!$Q$706+1</f>
        <v>-138487.58903718987</v>
      </c>
      <c r="I27" s="44"/>
      <c r="J27" s="45">
        <f>-160436+F27</f>
        <v>-235674</v>
      </c>
      <c r="K27" s="46"/>
      <c r="P27" s="46"/>
      <c r="Q27" s="46"/>
      <c r="R27" s="46"/>
    </row>
    <row r="28" spans="1:18" ht="12.75">
      <c r="A28" s="42"/>
      <c r="B28" s="43"/>
      <c r="C28" s="43"/>
      <c r="D28" s="139"/>
      <c r="E28" s="44"/>
      <c r="F28" s="80"/>
      <c r="G28" s="43"/>
      <c r="H28" s="139"/>
      <c r="I28" s="44"/>
      <c r="J28" s="45"/>
      <c r="K28" s="46"/>
      <c r="P28" s="46"/>
      <c r="Q28" s="46"/>
      <c r="R28" s="46"/>
    </row>
    <row r="29" spans="1:18" ht="12.75">
      <c r="A29" s="42" t="s">
        <v>69</v>
      </c>
      <c r="B29" s="21"/>
      <c r="C29" s="43"/>
      <c r="D29" s="139">
        <f>H29+8210+5226</f>
        <v>3412.2309598300017</v>
      </c>
      <c r="E29" s="44"/>
      <c r="F29" s="110">
        <f>-5701</f>
        <v>-5701</v>
      </c>
      <c r="G29" s="43"/>
      <c r="H29" s="139">
        <f>-'[2]M-GER95A.XLS'!$Q$708</f>
        <v>-10023.769040169998</v>
      </c>
      <c r="I29" s="44"/>
      <c r="J29" s="110">
        <f>-12257+F29</f>
        <v>-17958</v>
      </c>
      <c r="K29" s="46"/>
      <c r="P29" s="46"/>
      <c r="Q29" s="46"/>
      <c r="R29" s="46"/>
    </row>
    <row r="30" spans="1:18" ht="12.75">
      <c r="A30" s="42"/>
      <c r="B30" s="21"/>
      <c r="C30" s="43"/>
      <c r="D30" s="139"/>
      <c r="E30" s="44"/>
      <c r="F30" s="110"/>
      <c r="G30" s="43"/>
      <c r="H30" s="139"/>
      <c r="I30" s="44"/>
      <c r="J30" s="110"/>
      <c r="K30" s="46"/>
      <c r="P30" s="46"/>
      <c r="Q30" s="46"/>
      <c r="R30" s="46"/>
    </row>
    <row r="31" spans="1:18" ht="12.75">
      <c r="A31" s="53" t="s">
        <v>70</v>
      </c>
      <c r="B31" s="21">
        <v>1</v>
      </c>
      <c r="C31" s="43"/>
      <c r="D31" s="139">
        <f>H31+11692+9988</f>
        <v>-7111.6645965200005</v>
      </c>
      <c r="E31" s="44"/>
      <c r="F31" s="110">
        <f>-7747</f>
        <v>-7747</v>
      </c>
      <c r="G31" s="43"/>
      <c r="H31" s="139">
        <f>-'[2]M-GER95A.XLS'!$Q$712</f>
        <v>-28791.66459652</v>
      </c>
      <c r="I31" s="44"/>
      <c r="J31" s="110">
        <f>-18092+F31</f>
        <v>-25839</v>
      </c>
      <c r="K31" s="46"/>
      <c r="P31" s="46"/>
      <c r="Q31" s="46"/>
      <c r="R31" s="46"/>
    </row>
    <row r="32" spans="1:18" ht="12.75">
      <c r="A32" s="53"/>
      <c r="B32" s="21"/>
      <c r="C32" s="43"/>
      <c r="D32" s="139"/>
      <c r="E32" s="44"/>
      <c r="F32" s="45"/>
      <c r="G32" s="43"/>
      <c r="H32" s="139"/>
      <c r="I32" s="44"/>
      <c r="J32" s="45"/>
      <c r="K32" s="46"/>
      <c r="P32" s="46"/>
      <c r="Q32" s="46"/>
      <c r="R32" s="46"/>
    </row>
    <row r="33" spans="1:18" ht="12.75">
      <c r="A33" s="42" t="s">
        <v>96</v>
      </c>
      <c r="B33" s="21">
        <v>2</v>
      </c>
      <c r="D33" s="139">
        <f>H33-32549-14095</f>
        <v>9443.096795770005</v>
      </c>
      <c r="E33" s="44"/>
      <c r="F33" s="45">
        <f>4780</f>
        <v>4780</v>
      </c>
      <c r="G33" s="43"/>
      <c r="H33" s="139">
        <f>'[2]M-GER95A.XLS'!$O$613</f>
        <v>56087.096795770005</v>
      </c>
      <c r="I33" s="44"/>
      <c r="J33" s="45">
        <f>25103+F33</f>
        <v>29883</v>
      </c>
      <c r="K33" s="46"/>
      <c r="P33" s="46"/>
      <c r="Q33" s="46"/>
      <c r="R33" s="46"/>
    </row>
    <row r="34" spans="1:18" ht="12.75">
      <c r="A34" s="42"/>
      <c r="B34" s="21"/>
      <c r="C34" s="43"/>
      <c r="D34" s="139"/>
      <c r="E34" s="44"/>
      <c r="F34" s="45"/>
      <c r="G34" s="43"/>
      <c r="H34" s="139"/>
      <c r="I34" s="44"/>
      <c r="J34" s="45"/>
      <c r="K34" s="46"/>
      <c r="P34" s="46"/>
      <c r="Q34" s="46"/>
      <c r="R34" s="46"/>
    </row>
    <row r="35" spans="1:18" ht="12.75">
      <c r="A35" s="42" t="s">
        <v>34</v>
      </c>
      <c r="B35" s="21"/>
      <c r="C35" s="65"/>
      <c r="D35" s="139">
        <f>H35+1124+1240</f>
        <v>-1173.3810399999993</v>
      </c>
      <c r="E35" s="44"/>
      <c r="F35" s="45">
        <f>-1045</f>
        <v>-1045</v>
      </c>
      <c r="G35" s="43"/>
      <c r="H35" s="139">
        <f>-'[2]M-GER95A.XLS'!$Q$718</f>
        <v>-3537.3810399999993</v>
      </c>
      <c r="I35" s="44"/>
      <c r="J35" s="45">
        <f>-2239+F35</f>
        <v>-3284</v>
      </c>
      <c r="K35" s="46"/>
      <c r="P35" s="46"/>
      <c r="Q35" s="46"/>
      <c r="R35" s="46"/>
    </row>
    <row r="36" spans="1:18" ht="12.75">
      <c r="A36" s="42"/>
      <c r="B36" s="21"/>
      <c r="C36" s="65"/>
      <c r="D36" s="139"/>
      <c r="E36" s="44"/>
      <c r="F36" s="45"/>
      <c r="G36" s="43"/>
      <c r="H36" s="139"/>
      <c r="I36" s="44"/>
      <c r="J36" s="45"/>
      <c r="K36" s="46"/>
      <c r="P36" s="46"/>
      <c r="Q36" s="46"/>
      <c r="R36" s="46"/>
    </row>
    <row r="37" spans="1:18" ht="12.75">
      <c r="A37" s="53" t="s">
        <v>83</v>
      </c>
      <c r="B37" s="21">
        <v>3</v>
      </c>
      <c r="C37" s="65"/>
      <c r="D37" s="172">
        <f>H37-285</f>
        <v>-0.2553993762130631</v>
      </c>
      <c r="E37" s="44"/>
      <c r="F37" s="45">
        <f>-11434</f>
        <v>-11434</v>
      </c>
      <c r="G37" s="43"/>
      <c r="H37" s="139">
        <f>'[2]M-GER95A.XLS'!$V$246</f>
        <v>284.74460062378694</v>
      </c>
      <c r="I37" s="44"/>
      <c r="J37" s="77">
        <f>13181+F37</f>
        <v>1747</v>
      </c>
      <c r="K37" s="46"/>
      <c r="P37" s="46"/>
      <c r="Q37" s="46"/>
      <c r="R37" s="46"/>
    </row>
    <row r="38" spans="1:18" ht="12.75">
      <c r="A38" s="42"/>
      <c r="B38" s="65"/>
      <c r="C38" s="43"/>
      <c r="D38" s="139"/>
      <c r="E38" s="44"/>
      <c r="F38" s="45"/>
      <c r="G38" s="43"/>
      <c r="H38" s="139"/>
      <c r="I38" s="44"/>
      <c r="J38" s="45"/>
      <c r="K38" s="46"/>
      <c r="P38" s="46"/>
      <c r="Q38" s="46"/>
      <c r="R38" s="46"/>
    </row>
    <row r="39" spans="1:18" ht="12.75">
      <c r="A39" s="53" t="s">
        <v>92</v>
      </c>
      <c r="B39" s="65"/>
      <c r="C39" s="43"/>
      <c r="D39" s="139"/>
      <c r="E39" s="44"/>
      <c r="F39" s="45"/>
      <c r="G39" s="43"/>
      <c r="H39" s="139"/>
      <c r="I39" s="44"/>
      <c r="J39" s="45"/>
      <c r="K39" s="46"/>
      <c r="P39" s="46"/>
      <c r="Q39" s="46"/>
      <c r="R39" s="46"/>
    </row>
    <row r="40" spans="1:18" ht="12.75">
      <c r="A40" s="53" t="s">
        <v>93</v>
      </c>
      <c r="B40" s="65"/>
      <c r="C40" s="43"/>
      <c r="D40" s="139">
        <f>H40-1721-4097</f>
        <v>3238.808938632512</v>
      </c>
      <c r="E40" s="44"/>
      <c r="F40" s="45">
        <f>-462</f>
        <v>-462</v>
      </c>
      <c r="G40" s="43"/>
      <c r="H40" s="139">
        <f>'[2]M-GER95A.XLS'!$V$247</f>
        <v>9056.808938632512</v>
      </c>
      <c r="I40" s="44"/>
      <c r="J40" s="45">
        <f>242+F40</f>
        <v>-220</v>
      </c>
      <c r="K40" s="46"/>
      <c r="P40" s="46"/>
      <c r="Q40" s="46"/>
      <c r="R40" s="46"/>
    </row>
    <row r="41" spans="1:18" ht="12.75">
      <c r="A41" s="53"/>
      <c r="B41" s="65"/>
      <c r="C41" s="43"/>
      <c r="D41" s="139"/>
      <c r="E41" s="44"/>
      <c r="F41" s="45"/>
      <c r="G41" s="43"/>
      <c r="H41" s="139"/>
      <c r="I41" s="44"/>
      <c r="J41" s="45"/>
      <c r="K41" s="46"/>
      <c r="P41" s="46"/>
      <c r="Q41" s="46"/>
      <c r="R41" s="46"/>
    </row>
    <row r="42" spans="1:18" ht="12.75">
      <c r="A42" s="104" t="s">
        <v>92</v>
      </c>
      <c r="B42" s="65"/>
      <c r="C42" s="43"/>
      <c r="D42" s="139"/>
      <c r="E42" s="44"/>
      <c r="F42" s="45"/>
      <c r="G42" s="43"/>
      <c r="H42" s="139"/>
      <c r="I42" s="44"/>
      <c r="J42" s="45"/>
      <c r="K42" s="46"/>
      <c r="P42" s="46"/>
      <c r="Q42" s="46"/>
      <c r="R42" s="46"/>
    </row>
    <row r="43" spans="1:18" ht="12.75">
      <c r="A43" s="104" t="s">
        <v>119</v>
      </c>
      <c r="B43" s="65"/>
      <c r="C43" s="43"/>
      <c r="D43" s="140">
        <f>H43+25-169</f>
        <v>394.46893650000004</v>
      </c>
      <c r="E43" s="44"/>
      <c r="F43" s="48">
        <f>92</f>
        <v>92</v>
      </c>
      <c r="G43" s="43"/>
      <c r="H43" s="140">
        <f>'[2]M-GER95A.XLS'!$V$249</f>
        <v>538.4689365</v>
      </c>
      <c r="I43" s="44"/>
      <c r="J43" s="48">
        <f>-716+F43</f>
        <v>-624</v>
      </c>
      <c r="K43" s="46"/>
      <c r="P43" s="46"/>
      <c r="Q43" s="46"/>
      <c r="R43" s="46"/>
    </row>
    <row r="44" spans="1:18" ht="12.75">
      <c r="A44" s="42"/>
      <c r="B44" s="65"/>
      <c r="C44" s="43"/>
      <c r="D44" s="139"/>
      <c r="E44" s="44"/>
      <c r="F44" s="45"/>
      <c r="G44" s="43"/>
      <c r="H44" s="139"/>
      <c r="I44" s="44"/>
      <c r="J44" s="45"/>
      <c r="K44" s="46"/>
      <c r="P44" s="46"/>
      <c r="Q44" s="46"/>
      <c r="R44" s="46"/>
    </row>
    <row r="45" spans="1:18" ht="12.75">
      <c r="A45" s="53" t="s">
        <v>55</v>
      </c>
      <c r="B45" s="72"/>
      <c r="C45" s="43"/>
      <c r="D45" s="139">
        <f>SUM(D25:D44)</f>
        <v>24514.23494981636</v>
      </c>
      <c r="E45" s="44"/>
      <c r="F45" s="45">
        <f>SUM(F25:F43)</f>
        <v>2213</v>
      </c>
      <c r="G45" s="43"/>
      <c r="H45" s="139">
        <f>SUM(H25:H44)</f>
        <v>64724.23494981636</v>
      </c>
      <c r="I45" s="44"/>
      <c r="J45" s="45">
        <f>SUM(J25:J43)</f>
        <v>49547</v>
      </c>
      <c r="K45" s="46"/>
      <c r="P45" s="46"/>
      <c r="Q45" s="46"/>
      <c r="R45" s="46"/>
    </row>
    <row r="46" spans="1:18" ht="12.75">
      <c r="A46" s="42"/>
      <c r="B46" s="65"/>
      <c r="C46" s="43"/>
      <c r="D46" s="139"/>
      <c r="E46" s="44"/>
      <c r="F46" s="45"/>
      <c r="G46" s="43"/>
      <c r="H46" s="139"/>
      <c r="I46" s="44"/>
      <c r="J46" s="45"/>
      <c r="K46" s="46"/>
      <c r="P46" s="46"/>
      <c r="Q46" s="46"/>
      <c r="R46" s="46"/>
    </row>
    <row r="47" spans="1:18" ht="12.75">
      <c r="A47" s="42" t="s">
        <v>4</v>
      </c>
      <c r="B47" s="65"/>
      <c r="C47" s="43"/>
      <c r="D47" s="140">
        <f>H47+320+759</f>
        <v>-763.7064273739998</v>
      </c>
      <c r="E47" s="44"/>
      <c r="F47" s="48">
        <f>-2</f>
        <v>-2</v>
      </c>
      <c r="G47" s="43"/>
      <c r="H47" s="140">
        <f>'[2]M-GER95A.XLS'!$V$251</f>
        <v>-1842.7064273739998</v>
      </c>
      <c r="I47" s="44"/>
      <c r="J47" s="48">
        <f>-1017+F47</f>
        <v>-1019</v>
      </c>
      <c r="K47" s="46"/>
      <c r="P47" s="46"/>
      <c r="Q47" s="46"/>
      <c r="R47" s="46"/>
    </row>
    <row r="48" spans="1:18" ht="12.75">
      <c r="A48" s="42"/>
      <c r="B48" s="65"/>
      <c r="C48" s="43"/>
      <c r="D48" s="139"/>
      <c r="E48" s="44"/>
      <c r="F48" s="45"/>
      <c r="G48" s="43"/>
      <c r="H48" s="139"/>
      <c r="I48" s="44"/>
      <c r="J48" s="45"/>
      <c r="K48" s="46"/>
      <c r="P48" s="46"/>
      <c r="Q48" s="46"/>
      <c r="R48" s="46"/>
    </row>
    <row r="49" spans="1:18" ht="13.5" thickBot="1">
      <c r="A49" s="53" t="s">
        <v>243</v>
      </c>
      <c r="B49" s="65"/>
      <c r="C49" s="43"/>
      <c r="D49" s="141">
        <f>SUM(D45:D47)-1</f>
        <v>23749.52852244236</v>
      </c>
      <c r="E49" s="44"/>
      <c r="F49" s="92">
        <f>SUM(F45:F47)</f>
        <v>2211</v>
      </c>
      <c r="G49" s="43"/>
      <c r="H49" s="141">
        <f>SUM(H45:H47)-1</f>
        <v>62880.52852244236</v>
      </c>
      <c r="I49" s="44"/>
      <c r="J49" s="92">
        <f>SUM(J45:J47)</f>
        <v>48528</v>
      </c>
      <c r="K49" s="46"/>
      <c r="P49" s="46"/>
      <c r="Q49" s="46"/>
      <c r="R49" s="46"/>
    </row>
    <row r="50" spans="1:18" ht="12.75" hidden="1">
      <c r="A50" s="53"/>
      <c r="B50" s="65"/>
      <c r="C50" s="43"/>
      <c r="D50" s="139"/>
      <c r="E50" s="44"/>
      <c r="F50" s="45"/>
      <c r="G50" s="43"/>
      <c r="H50" s="139"/>
      <c r="I50" s="44"/>
      <c r="J50" s="45"/>
      <c r="K50" s="46"/>
      <c r="P50" s="46"/>
      <c r="Q50" s="46"/>
      <c r="R50" s="46"/>
    </row>
    <row r="51" spans="1:18" ht="12.75" hidden="1">
      <c r="A51" s="104" t="s">
        <v>155</v>
      </c>
      <c r="B51" s="65"/>
      <c r="C51" s="43"/>
      <c r="D51" s="139">
        <v>0</v>
      </c>
      <c r="E51" s="44"/>
      <c r="F51" s="45">
        <v>0</v>
      </c>
      <c r="G51" s="43"/>
      <c r="H51" s="139">
        <v>0</v>
      </c>
      <c r="I51" s="44"/>
      <c r="J51" s="45">
        <v>0</v>
      </c>
      <c r="K51" s="46"/>
      <c r="P51" s="46"/>
      <c r="Q51" s="46"/>
      <c r="R51" s="46"/>
    </row>
    <row r="52" spans="1:18" ht="12.75" hidden="1">
      <c r="A52" s="104"/>
      <c r="B52" s="65"/>
      <c r="C52" s="43"/>
      <c r="D52" s="139"/>
      <c r="E52" s="44"/>
      <c r="F52" s="45"/>
      <c r="G52" s="43"/>
      <c r="H52" s="139"/>
      <c r="I52" s="44"/>
      <c r="J52" s="45"/>
      <c r="K52" s="46"/>
      <c r="P52" s="46"/>
      <c r="Q52" s="46"/>
      <c r="R52" s="46"/>
    </row>
    <row r="53" spans="1:18" ht="12.75" hidden="1">
      <c r="A53" s="104" t="s">
        <v>156</v>
      </c>
      <c r="B53" s="65"/>
      <c r="C53" s="43"/>
      <c r="D53" s="162"/>
      <c r="E53" s="44"/>
      <c r="F53" s="163"/>
      <c r="G53" s="43"/>
      <c r="H53" s="162"/>
      <c r="I53" s="44"/>
      <c r="J53" s="163"/>
      <c r="K53" s="46"/>
      <c r="P53" s="46"/>
      <c r="Q53" s="46"/>
      <c r="R53" s="46"/>
    </row>
    <row r="54" spans="1:18" ht="13.5" hidden="1" thickBot="1">
      <c r="A54" s="104" t="s">
        <v>157</v>
      </c>
      <c r="B54" s="65"/>
      <c r="C54" s="43"/>
      <c r="D54" s="141">
        <f>SUM(D48:D52)</f>
        <v>23749.52852244236</v>
      </c>
      <c r="E54" s="44"/>
      <c r="F54" s="92">
        <f>SUM(F49:F52)</f>
        <v>2211</v>
      </c>
      <c r="G54" s="43"/>
      <c r="H54" s="141">
        <f>SUM(H49:H52)</f>
        <v>62880.52852244236</v>
      </c>
      <c r="I54" s="44"/>
      <c r="J54" s="92">
        <f>SUM(J49:J52)</f>
        <v>48528</v>
      </c>
      <c r="K54" s="46"/>
      <c r="P54" s="46"/>
      <c r="Q54" s="46"/>
      <c r="R54" s="46"/>
    </row>
    <row r="55" spans="1:18" ht="12.75">
      <c r="A55" s="42"/>
      <c r="B55" s="65"/>
      <c r="C55" s="43"/>
      <c r="D55" s="139"/>
      <c r="E55" s="44"/>
      <c r="F55" s="45"/>
      <c r="G55" s="43"/>
      <c r="H55" s="139"/>
      <c r="I55" s="44"/>
      <c r="J55" s="45"/>
      <c r="K55" s="46"/>
      <c r="P55" s="46"/>
      <c r="Q55" s="46"/>
      <c r="R55" s="46"/>
    </row>
    <row r="56" spans="1:18" ht="12.75">
      <c r="A56" s="53" t="s">
        <v>154</v>
      </c>
      <c r="B56" s="43"/>
      <c r="C56" s="43"/>
      <c r="D56" s="139"/>
      <c r="E56" s="44"/>
      <c r="F56" s="45"/>
      <c r="G56" s="43"/>
      <c r="H56" s="139"/>
      <c r="I56" s="44"/>
      <c r="J56" s="45"/>
      <c r="K56" s="46"/>
      <c r="P56" s="46"/>
      <c r="Q56" s="46"/>
      <c r="R56" s="46"/>
    </row>
    <row r="57" spans="1:18" ht="12.75">
      <c r="A57" s="53" t="s">
        <v>150</v>
      </c>
      <c r="B57" s="43"/>
      <c r="C57" s="43"/>
      <c r="D57" s="139">
        <f>D60-D58</f>
        <v>23595.531447050987</v>
      </c>
      <c r="E57" s="44"/>
      <c r="F57" s="45">
        <v>691</v>
      </c>
      <c r="G57" s="43"/>
      <c r="H57" s="139">
        <f>H60-H58</f>
        <v>62656.531447050984</v>
      </c>
      <c r="I57" s="44"/>
      <c r="J57" s="45">
        <f>42784+F57</f>
        <v>43475</v>
      </c>
      <c r="K57" s="46"/>
      <c r="P57" s="46"/>
      <c r="Q57" s="46"/>
      <c r="R57" s="46"/>
    </row>
    <row r="58" spans="1:18" ht="12.75">
      <c r="A58" s="42" t="s">
        <v>134</v>
      </c>
      <c r="B58" s="43"/>
      <c r="C58" s="43"/>
      <c r="D58" s="139">
        <f>H58-70</f>
        <v>153.99707539137455</v>
      </c>
      <c r="E58" s="44"/>
      <c r="F58" s="45">
        <v>1520</v>
      </c>
      <c r="G58" s="43"/>
      <c r="H58" s="139">
        <f>-'[2]M-GER95A.XLS'!$V$259</f>
        <v>223.99707539137455</v>
      </c>
      <c r="I58" s="44"/>
      <c r="J58" s="45">
        <f>3533+F58</f>
        <v>5053</v>
      </c>
      <c r="K58" s="46"/>
      <c r="P58" s="46"/>
      <c r="Q58" s="46"/>
      <c r="R58" s="46"/>
    </row>
    <row r="59" spans="1:18" ht="12.75">
      <c r="A59" s="42"/>
      <c r="B59" s="43"/>
      <c r="C59" s="43"/>
      <c r="D59" s="139"/>
      <c r="E59" s="44"/>
      <c r="F59" s="45"/>
      <c r="G59" s="43"/>
      <c r="H59" s="139"/>
      <c r="I59" s="44"/>
      <c r="J59" s="45"/>
      <c r="K59" s="46"/>
      <c r="P59" s="46"/>
      <c r="Q59" s="46"/>
      <c r="R59" s="46"/>
    </row>
    <row r="60" spans="1:18" ht="13.5" thickBot="1">
      <c r="A60" s="53"/>
      <c r="B60" s="43"/>
      <c r="C60" s="43"/>
      <c r="D60" s="142">
        <f>D54</f>
        <v>23749.52852244236</v>
      </c>
      <c r="E60" s="44"/>
      <c r="F60" s="61">
        <f>SUM(F57:F59)</f>
        <v>2211</v>
      </c>
      <c r="G60" s="43"/>
      <c r="H60" s="142">
        <f>H54</f>
        <v>62880.52852244236</v>
      </c>
      <c r="I60" s="44"/>
      <c r="J60" s="61">
        <f>J58+J57</f>
        <v>48528</v>
      </c>
      <c r="K60" s="46"/>
      <c r="P60" s="46"/>
      <c r="Q60" s="46"/>
      <c r="R60" s="46"/>
    </row>
    <row r="61" spans="1:18" ht="12.75">
      <c r="A61" s="42"/>
      <c r="B61" s="43"/>
      <c r="C61" s="43"/>
      <c r="D61" s="139"/>
      <c r="E61" s="44"/>
      <c r="F61" s="45"/>
      <c r="G61" s="43"/>
      <c r="H61" s="139"/>
      <c r="I61" s="44"/>
      <c r="J61" s="45"/>
      <c r="P61" s="46"/>
      <c r="Q61" s="46"/>
      <c r="R61" s="46"/>
    </row>
    <row r="62" spans="1:18" ht="12.75">
      <c r="A62" s="53" t="s">
        <v>130</v>
      </c>
      <c r="B62" s="43"/>
      <c r="C62" s="43"/>
      <c r="D62" s="139"/>
      <c r="E62" s="44"/>
      <c r="F62" s="45"/>
      <c r="G62" s="43"/>
      <c r="H62" s="139"/>
      <c r="I62" s="44"/>
      <c r="J62" s="62"/>
      <c r="K62" s="46"/>
      <c r="P62" s="46"/>
      <c r="Q62" s="46"/>
      <c r="R62" s="46"/>
    </row>
    <row r="63" spans="1:18" ht="12.75">
      <c r="A63" s="47" t="s">
        <v>24</v>
      </c>
      <c r="B63" s="43"/>
      <c r="C63" s="43"/>
      <c r="D63" s="143">
        <f>H63-3.93-1.76</f>
        <v>3.4419457766742347</v>
      </c>
      <c r="E63" s="44"/>
      <c r="F63" s="102">
        <v>0.1</v>
      </c>
      <c r="G63" s="43"/>
      <c r="H63" s="150">
        <f>'[4]Sept10'!$C$58</f>
        <v>9.131945776674234</v>
      </c>
      <c r="I63" s="44"/>
      <c r="J63" s="95">
        <f>6.43</f>
        <v>6.43</v>
      </c>
      <c r="K63" s="46"/>
      <c r="P63" s="46"/>
      <c r="Q63" s="46"/>
      <c r="R63" s="46"/>
    </row>
    <row r="64" spans="1:18" ht="12.75">
      <c r="A64" s="47" t="s">
        <v>25</v>
      </c>
      <c r="B64" s="43"/>
      <c r="C64" s="43"/>
      <c r="D64" s="144" t="s">
        <v>114</v>
      </c>
      <c r="E64" s="44"/>
      <c r="F64" s="155" t="s">
        <v>114</v>
      </c>
      <c r="G64" s="43"/>
      <c r="H64" s="151" t="s">
        <v>114</v>
      </c>
      <c r="I64" s="44"/>
      <c r="J64" s="155" t="s">
        <v>114</v>
      </c>
      <c r="K64" s="46"/>
      <c r="P64" s="46"/>
      <c r="Q64" s="46"/>
      <c r="R64" s="46"/>
    </row>
    <row r="65" spans="1:18" ht="12.75">
      <c r="A65" s="42"/>
      <c r="B65" s="43"/>
      <c r="C65" s="43"/>
      <c r="D65" s="140"/>
      <c r="E65" s="49"/>
      <c r="F65" s="103"/>
      <c r="G65" s="43"/>
      <c r="H65" s="140"/>
      <c r="I65" s="49"/>
      <c r="J65" s="48"/>
      <c r="K65" s="46"/>
      <c r="P65" s="46"/>
      <c r="Q65" s="46"/>
      <c r="R65" s="46"/>
    </row>
    <row r="66" spans="1:18" ht="12.75">
      <c r="A66" s="42"/>
      <c r="B66" s="43"/>
      <c r="C66" s="43"/>
      <c r="D66" s="117"/>
      <c r="E66" s="43"/>
      <c r="F66" s="43"/>
      <c r="G66" s="43"/>
      <c r="H66" s="117"/>
      <c r="I66" s="43"/>
      <c r="J66" s="43"/>
      <c r="K66" s="46"/>
      <c r="P66" s="46"/>
      <c r="Q66" s="46"/>
      <c r="R66" s="46"/>
    </row>
    <row r="67" spans="1:18" ht="12.75">
      <c r="A67" s="42"/>
      <c r="B67" s="43"/>
      <c r="C67" s="43"/>
      <c r="D67" s="117"/>
      <c r="E67" s="43"/>
      <c r="F67" s="43"/>
      <c r="G67" s="43"/>
      <c r="H67" s="117"/>
      <c r="I67" s="43"/>
      <c r="J67" s="43"/>
      <c r="K67" s="46"/>
      <c r="P67" s="46"/>
      <c r="Q67" s="46"/>
      <c r="R67" s="46"/>
    </row>
    <row r="68" spans="1:18" ht="12.75">
      <c r="A68" s="42"/>
      <c r="B68" s="43"/>
      <c r="C68" s="43"/>
      <c r="D68" s="119" t="s">
        <v>57</v>
      </c>
      <c r="F68" s="78" t="s">
        <v>57</v>
      </c>
      <c r="G68" s="43"/>
      <c r="H68" s="153" t="s">
        <v>151</v>
      </c>
      <c r="I68" s="69"/>
      <c r="J68" s="70" t="s">
        <v>151</v>
      </c>
      <c r="K68" s="46"/>
      <c r="P68" s="46"/>
      <c r="Q68" s="46"/>
      <c r="R68" s="46"/>
    </row>
    <row r="69" spans="1:18" ht="12.75">
      <c r="A69" s="42"/>
      <c r="B69" s="43"/>
      <c r="C69" s="43"/>
      <c r="D69" s="120" t="s">
        <v>206</v>
      </c>
      <c r="E69" s="67"/>
      <c r="F69" s="71" t="s">
        <v>208</v>
      </c>
      <c r="G69" s="43"/>
      <c r="H69" s="120" t="str">
        <f>D69</f>
        <v>31/3/2011</v>
      </c>
      <c r="I69" s="67"/>
      <c r="J69" s="71" t="str">
        <f>F69</f>
        <v>31/3/2010</v>
      </c>
      <c r="K69" s="46"/>
      <c r="P69" s="46"/>
      <c r="Q69" s="46"/>
      <c r="R69" s="46"/>
    </row>
    <row r="70" spans="1:18" ht="12.75">
      <c r="A70" s="42"/>
      <c r="B70" s="43"/>
      <c r="C70" s="43"/>
      <c r="D70" s="147" t="s">
        <v>5</v>
      </c>
      <c r="E70" s="43"/>
      <c r="F70" s="57" t="s">
        <v>5</v>
      </c>
      <c r="G70" s="43"/>
      <c r="H70" s="147" t="s">
        <v>5</v>
      </c>
      <c r="I70" s="43"/>
      <c r="J70" s="57" t="s">
        <v>5</v>
      </c>
      <c r="K70" s="46"/>
      <c r="P70" s="46"/>
      <c r="Q70" s="46"/>
      <c r="R70" s="46"/>
    </row>
    <row r="71" spans="1:18" ht="12.75">
      <c r="A71" s="42" t="s">
        <v>48</v>
      </c>
      <c r="B71" s="43"/>
      <c r="C71" s="43"/>
      <c r="D71" s="146"/>
      <c r="E71" s="43"/>
      <c r="F71" s="43"/>
      <c r="G71" s="43"/>
      <c r="H71" s="146"/>
      <c r="I71" s="43"/>
      <c r="J71" s="43"/>
      <c r="K71" s="46"/>
      <c r="L71" s="94"/>
      <c r="M71" s="94"/>
      <c r="O71" s="46"/>
      <c r="P71" s="46"/>
      <c r="Q71" s="46"/>
      <c r="R71" s="46"/>
    </row>
    <row r="72" spans="1:18" ht="12.75">
      <c r="A72" s="67" t="s">
        <v>239</v>
      </c>
      <c r="B72" s="43"/>
      <c r="C72" s="43"/>
      <c r="D72" s="146"/>
      <c r="E72" s="43"/>
      <c r="F72" s="43"/>
      <c r="G72" s="43"/>
      <c r="H72" s="146"/>
      <c r="I72" s="43"/>
      <c r="J72" s="43"/>
      <c r="K72" s="46"/>
      <c r="L72" s="94"/>
      <c r="M72" s="94"/>
      <c r="O72" s="46"/>
      <c r="P72" s="46"/>
      <c r="Q72" s="46"/>
      <c r="R72" s="46"/>
    </row>
    <row r="73" spans="1:18" ht="12.75">
      <c r="A73" s="67"/>
      <c r="B73" s="43"/>
      <c r="C73" s="43"/>
      <c r="D73" s="146"/>
      <c r="E73" s="43"/>
      <c r="F73" s="43"/>
      <c r="G73" s="43"/>
      <c r="H73" s="146"/>
      <c r="I73" s="43"/>
      <c r="J73" s="43"/>
      <c r="K73" s="46"/>
      <c r="L73" s="94"/>
      <c r="M73" s="94"/>
      <c r="O73" s="46"/>
      <c r="P73" s="46"/>
      <c r="Q73" s="46"/>
      <c r="R73" s="46"/>
    </row>
    <row r="74" spans="1:18" ht="13.5" thickBot="1">
      <c r="A74" s="67" t="s">
        <v>199</v>
      </c>
      <c r="B74" s="43"/>
      <c r="C74" s="43"/>
      <c r="D74" s="145">
        <f>'[1]MS trades'!$E$49</f>
        <v>459.1806</v>
      </c>
      <c r="F74" s="79">
        <f>-3576</f>
        <v>-3576</v>
      </c>
      <c r="H74" s="145">
        <f>-1011+D74+4</f>
        <v>-547.8194</v>
      </c>
      <c r="J74" s="79">
        <f>-2296-16+F74</f>
        <v>-5888</v>
      </c>
      <c r="K74" s="46"/>
      <c r="L74" s="94"/>
      <c r="M74" s="94"/>
      <c r="O74" s="46"/>
      <c r="P74" s="46"/>
      <c r="Q74" s="46"/>
      <c r="R74" s="46"/>
    </row>
    <row r="75" spans="1:18" ht="13.5" thickTop="1">
      <c r="A75" s="67"/>
      <c r="B75" s="43"/>
      <c r="C75" s="43"/>
      <c r="D75" s="148"/>
      <c r="F75" s="44"/>
      <c r="H75" s="148"/>
      <c r="J75" s="44"/>
      <c r="K75" s="46"/>
      <c r="L75" s="94"/>
      <c r="M75" s="94"/>
      <c r="O75" s="46"/>
      <c r="P75" s="46"/>
      <c r="Q75" s="46"/>
      <c r="R75" s="46"/>
    </row>
    <row r="76" spans="1:18" ht="12.75">
      <c r="A76" s="42" t="s">
        <v>50</v>
      </c>
      <c r="B76" s="43"/>
      <c r="C76" s="43"/>
      <c r="D76" s="148"/>
      <c r="F76" s="44"/>
      <c r="H76" s="148"/>
      <c r="J76" s="44"/>
      <c r="K76" s="46"/>
      <c r="L76" s="94"/>
      <c r="M76" s="94"/>
      <c r="O76" s="46"/>
      <c r="P76" s="46"/>
      <c r="Q76" s="46"/>
      <c r="R76" s="46"/>
    </row>
    <row r="77" spans="1:18" ht="12.75">
      <c r="A77" s="67" t="s">
        <v>127</v>
      </c>
      <c r="B77" s="43"/>
      <c r="C77" s="43"/>
      <c r="D77" s="148"/>
      <c r="F77" s="44"/>
      <c r="H77" s="148"/>
      <c r="J77" s="44"/>
      <c r="K77" s="46"/>
      <c r="L77" s="94"/>
      <c r="M77" s="94"/>
      <c r="O77" s="46"/>
      <c r="P77" s="46"/>
      <c r="Q77" s="46"/>
      <c r="R77" s="46"/>
    </row>
    <row r="78" spans="1:18" ht="12.75">
      <c r="A78" s="67"/>
      <c r="B78" s="43"/>
      <c r="C78" s="43"/>
      <c r="D78" s="147"/>
      <c r="E78" s="43"/>
      <c r="F78" s="57"/>
      <c r="G78" s="43"/>
      <c r="H78" s="147"/>
      <c r="I78" s="43"/>
      <c r="J78" s="57"/>
      <c r="K78" s="46"/>
      <c r="L78" s="94"/>
      <c r="M78" s="94"/>
      <c r="O78" s="46"/>
      <c r="P78" s="46"/>
      <c r="Q78" s="46"/>
      <c r="R78" s="46"/>
    </row>
    <row r="79" spans="1:18" ht="12.75">
      <c r="A79" s="176" t="s">
        <v>224</v>
      </c>
      <c r="B79" s="43"/>
      <c r="C79" s="43"/>
      <c r="D79" s="149"/>
      <c r="H79" s="149"/>
      <c r="K79" s="46"/>
      <c r="L79" s="94"/>
      <c r="M79" s="94"/>
      <c r="O79" s="46"/>
      <c r="P79" s="46"/>
      <c r="Q79" s="46"/>
      <c r="R79" s="46"/>
    </row>
    <row r="80" spans="1:18" ht="13.5" thickBot="1">
      <c r="A80" s="175" t="s">
        <v>225</v>
      </c>
      <c r="B80" s="43"/>
      <c r="C80" s="43"/>
      <c r="D80" s="145">
        <f>'[2]MRYTD'!$W$208</f>
        <v>726</v>
      </c>
      <c r="F80" s="79">
        <f>4754</f>
        <v>4754</v>
      </c>
      <c r="G80" s="43"/>
      <c r="H80" s="145">
        <f>7333+D80+4966</f>
        <v>13025</v>
      </c>
      <c r="I80" s="43"/>
      <c r="J80" s="79">
        <f>9414+F80+1024</f>
        <v>15192</v>
      </c>
      <c r="K80" s="46"/>
      <c r="L80" s="94"/>
      <c r="M80" s="94"/>
      <c r="O80" s="46"/>
      <c r="P80" s="46"/>
      <c r="Q80" s="46"/>
      <c r="R80" s="46"/>
    </row>
    <row r="81" spans="1:18" ht="13.5" thickTop="1">
      <c r="A81" s="67"/>
      <c r="B81" s="43"/>
      <c r="C81" s="43"/>
      <c r="D81" s="146"/>
      <c r="E81" s="43"/>
      <c r="F81" s="43"/>
      <c r="G81" s="43"/>
      <c r="H81" s="146"/>
      <c r="I81" s="43"/>
      <c r="J81" s="43"/>
      <c r="K81" s="46"/>
      <c r="L81" s="94"/>
      <c r="M81" s="94"/>
      <c r="O81" s="46"/>
      <c r="P81" s="46"/>
      <c r="Q81" s="46"/>
      <c r="R81" s="46"/>
    </row>
    <row r="82" spans="1:18" ht="12.75">
      <c r="A82" s="53" t="s">
        <v>65</v>
      </c>
      <c r="B82" s="43"/>
      <c r="C82" s="43"/>
      <c r="D82" s="146"/>
      <c r="E82" s="43"/>
      <c r="F82" s="43"/>
      <c r="G82" s="43"/>
      <c r="H82" s="146"/>
      <c r="I82" s="43"/>
      <c r="J82" s="43"/>
      <c r="K82" s="46"/>
      <c r="L82" s="94"/>
      <c r="O82" s="46"/>
      <c r="P82" s="46"/>
      <c r="Q82" s="46"/>
      <c r="R82" s="46"/>
    </row>
    <row r="83" spans="1:18" ht="12.75">
      <c r="A83" s="67" t="s">
        <v>118</v>
      </c>
      <c r="B83" s="43"/>
      <c r="C83" s="43"/>
      <c r="D83" s="147"/>
      <c r="E83" s="43"/>
      <c r="F83" s="57"/>
      <c r="G83" s="43"/>
      <c r="H83" s="147"/>
      <c r="I83" s="43"/>
      <c r="J83" s="57"/>
      <c r="K83" s="46"/>
      <c r="L83" s="94"/>
      <c r="O83" s="46"/>
      <c r="P83" s="46"/>
      <c r="Q83" s="46"/>
      <c r="R83" s="46"/>
    </row>
    <row r="84" spans="1:18" ht="12.75">
      <c r="A84" s="67"/>
      <c r="B84" s="43"/>
      <c r="C84" s="43"/>
      <c r="D84" s="147"/>
      <c r="E84" s="43"/>
      <c r="F84" s="57"/>
      <c r="G84" s="43"/>
      <c r="H84" s="147"/>
      <c r="I84" s="43"/>
      <c r="J84" s="57"/>
      <c r="K84" s="46"/>
      <c r="L84" s="94"/>
      <c r="O84" s="46"/>
      <c r="P84" s="46"/>
      <c r="Q84" s="46"/>
      <c r="R84" s="46"/>
    </row>
    <row r="85" spans="1:18" ht="12.75">
      <c r="A85" s="67" t="s">
        <v>115</v>
      </c>
      <c r="B85" s="43"/>
      <c r="C85" s="43"/>
      <c r="D85" s="147">
        <v>0</v>
      </c>
      <c r="E85" s="43"/>
      <c r="F85" s="57">
        <f>0</f>
        <v>0</v>
      </c>
      <c r="G85" s="43"/>
      <c r="H85" s="147">
        <v>0</v>
      </c>
      <c r="I85" s="43"/>
      <c r="J85" s="57">
        <f>13049</f>
        <v>13049</v>
      </c>
      <c r="K85" s="46"/>
      <c r="L85" s="94"/>
      <c r="O85" s="46"/>
      <c r="P85" s="46"/>
      <c r="Q85" s="46"/>
      <c r="R85" s="46"/>
    </row>
    <row r="86" spans="1:18" ht="12.75">
      <c r="A86" s="67" t="s">
        <v>167</v>
      </c>
      <c r="B86" s="43"/>
      <c r="C86" s="43"/>
      <c r="D86" s="166">
        <v>0</v>
      </c>
      <c r="E86" s="44"/>
      <c r="F86" s="167">
        <v>0</v>
      </c>
      <c r="G86" s="44"/>
      <c r="H86" s="166">
        <f>285</f>
        <v>285</v>
      </c>
      <c r="I86" s="44"/>
      <c r="J86" s="167">
        <v>0</v>
      </c>
      <c r="K86" s="46"/>
      <c r="L86" s="94"/>
      <c r="O86" s="46"/>
      <c r="P86" s="46"/>
      <c r="Q86" s="46"/>
      <c r="R86" s="46"/>
    </row>
    <row r="87" spans="1:18" ht="12.75">
      <c r="A87" s="67" t="s">
        <v>209</v>
      </c>
      <c r="B87" s="43"/>
      <c r="C87" s="43"/>
      <c r="D87" s="166">
        <v>0</v>
      </c>
      <c r="E87" s="44"/>
      <c r="F87" s="167">
        <f>7</f>
        <v>7</v>
      </c>
      <c r="G87" s="44"/>
      <c r="H87" s="166">
        <v>0</v>
      </c>
      <c r="I87" s="44"/>
      <c r="J87" s="167">
        <f>7</f>
        <v>7</v>
      </c>
      <c r="K87" s="46"/>
      <c r="L87" s="94"/>
      <c r="O87" s="46"/>
      <c r="P87" s="46"/>
      <c r="Q87" s="46"/>
      <c r="R87" s="46"/>
    </row>
    <row r="88" spans="1:18" ht="12.75">
      <c r="A88" s="67" t="s">
        <v>218</v>
      </c>
      <c r="B88" s="43"/>
      <c r="C88" s="43"/>
      <c r="D88" s="166">
        <v>0</v>
      </c>
      <c r="E88" s="44"/>
      <c r="F88" s="167">
        <f>-13561</f>
        <v>-13561</v>
      </c>
      <c r="G88" s="44"/>
      <c r="H88" s="166">
        <v>0</v>
      </c>
      <c r="I88" s="44"/>
      <c r="J88" s="167">
        <f>-13561</f>
        <v>-13561</v>
      </c>
      <c r="K88" s="46"/>
      <c r="L88" s="94"/>
      <c r="O88" s="46"/>
      <c r="P88" s="46"/>
      <c r="Q88" s="46"/>
      <c r="R88" s="46"/>
    </row>
    <row r="89" spans="1:18" ht="12.75">
      <c r="A89" s="67" t="s">
        <v>223</v>
      </c>
      <c r="B89" s="43"/>
      <c r="C89" s="43"/>
      <c r="D89" s="166"/>
      <c r="E89" s="44"/>
      <c r="F89" s="167"/>
      <c r="G89" s="44"/>
      <c r="H89" s="166"/>
      <c r="I89" s="44"/>
      <c r="J89" s="167"/>
      <c r="K89" s="46"/>
      <c r="L89" s="94"/>
      <c r="O89" s="46"/>
      <c r="P89" s="46"/>
      <c r="Q89" s="46"/>
      <c r="R89" s="46"/>
    </row>
    <row r="90" spans="1:18" ht="13.5" thickBot="1">
      <c r="A90" s="82" t="s">
        <v>194</v>
      </c>
      <c r="B90" s="43"/>
      <c r="C90" s="43"/>
      <c r="D90" s="173">
        <v>0</v>
      </c>
      <c r="F90" s="168">
        <f>2120</f>
        <v>2120</v>
      </c>
      <c r="G90" s="18"/>
      <c r="H90" s="145">
        <v>0</v>
      </c>
      <c r="I90" s="44"/>
      <c r="J90" s="168">
        <f>1471+F90-1339</f>
        <v>2252</v>
      </c>
      <c r="K90" s="76"/>
      <c r="L90" s="94"/>
      <c r="O90" s="46"/>
      <c r="P90" s="46"/>
      <c r="Q90" s="46"/>
      <c r="R90" s="46"/>
    </row>
    <row r="91" spans="1:18" ht="13.5" thickTop="1">
      <c r="A91" s="42"/>
      <c r="B91" s="43"/>
      <c r="C91" s="43"/>
      <c r="D91" s="43"/>
      <c r="E91" s="43"/>
      <c r="F91" s="43"/>
      <c r="G91" s="43"/>
      <c r="H91" s="43"/>
      <c r="I91" s="43"/>
      <c r="J91" s="43"/>
      <c r="K91" s="46"/>
      <c r="L91" s="46"/>
      <c r="M91" s="46"/>
      <c r="N91" s="46"/>
      <c r="O91" s="46"/>
      <c r="P91" s="46"/>
      <c r="Q91" s="46"/>
      <c r="R91" s="46"/>
    </row>
    <row r="92" spans="11:18" ht="12.75">
      <c r="K92" s="46"/>
      <c r="L92" s="46"/>
      <c r="M92" s="46"/>
      <c r="N92" s="46"/>
      <c r="O92" s="46"/>
      <c r="P92" s="46"/>
      <c r="Q92" s="46"/>
      <c r="R92" s="46"/>
    </row>
    <row r="93" spans="12:18" ht="12.75">
      <c r="L93" s="46"/>
      <c r="M93" s="46"/>
      <c r="N93" s="46"/>
      <c r="O93" s="46"/>
      <c r="P93" s="46"/>
      <c r="Q93" s="46"/>
      <c r="R93" s="46"/>
    </row>
    <row r="94" spans="1:18" ht="12.75">
      <c r="A94" s="195"/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46"/>
      <c r="M94" s="46"/>
      <c r="N94" s="46"/>
      <c r="O94" s="46"/>
      <c r="P94" s="46"/>
      <c r="Q94" s="46"/>
      <c r="R94" s="46"/>
    </row>
    <row r="95" spans="13:18" ht="12.75">
      <c r="M95" s="46"/>
      <c r="N95" s="46"/>
      <c r="O95" s="46"/>
      <c r="P95" s="46"/>
      <c r="Q95" s="46"/>
      <c r="R95" s="46"/>
    </row>
    <row r="96" spans="13:18" ht="12.75">
      <c r="M96" s="46"/>
      <c r="N96" s="46"/>
      <c r="O96" s="46"/>
      <c r="P96" s="46"/>
      <c r="Q96" s="46"/>
      <c r="R96" s="46"/>
    </row>
    <row r="97" spans="13:18" ht="12.75">
      <c r="M97" s="46"/>
      <c r="N97" s="46"/>
      <c r="O97" s="46"/>
      <c r="P97" s="46"/>
      <c r="Q97" s="46"/>
      <c r="R97" s="46"/>
    </row>
    <row r="98" spans="13:18" ht="12.75">
      <c r="M98" s="46"/>
      <c r="N98" s="46"/>
      <c r="O98" s="46"/>
      <c r="P98" s="46"/>
      <c r="Q98" s="46"/>
      <c r="R98" s="46"/>
    </row>
    <row r="99" spans="13:18" ht="12.75">
      <c r="M99" s="46"/>
      <c r="N99" s="46"/>
      <c r="O99" s="46"/>
      <c r="P99" s="46"/>
      <c r="Q99" s="46"/>
      <c r="R99" s="46"/>
    </row>
    <row r="100" spans="13:18" ht="12.75">
      <c r="M100" s="46"/>
      <c r="N100" s="46"/>
      <c r="O100" s="46"/>
      <c r="P100" s="46"/>
      <c r="Q100" s="46"/>
      <c r="R100" s="46"/>
    </row>
    <row r="101" spans="13:18" ht="12.75">
      <c r="M101" s="46"/>
      <c r="N101" s="46"/>
      <c r="O101" s="46"/>
      <c r="P101" s="46"/>
      <c r="Q101" s="46"/>
      <c r="R101" s="46"/>
    </row>
    <row r="102" spans="13:18" ht="12.75">
      <c r="M102" s="46"/>
      <c r="N102" s="46"/>
      <c r="O102" s="46"/>
      <c r="P102" s="46"/>
      <c r="Q102" s="46"/>
      <c r="R102" s="46"/>
    </row>
    <row r="103" spans="13:18" ht="12.75">
      <c r="M103" s="46"/>
      <c r="N103" s="46"/>
      <c r="O103" s="46"/>
      <c r="P103" s="46"/>
      <c r="Q103" s="46"/>
      <c r="R103" s="46"/>
    </row>
    <row r="104" spans="13:18" ht="12.75">
      <c r="M104" s="46"/>
      <c r="N104" s="46"/>
      <c r="O104" s="46"/>
      <c r="P104" s="46"/>
      <c r="Q104" s="46"/>
      <c r="R104" s="46"/>
    </row>
    <row r="105" spans="13:18" ht="12.75">
      <c r="M105" s="46"/>
      <c r="N105" s="46"/>
      <c r="O105" s="46"/>
      <c r="P105" s="46"/>
      <c r="Q105" s="46"/>
      <c r="R105" s="46"/>
    </row>
    <row r="106" spans="13:18" ht="12.75">
      <c r="M106" s="46"/>
      <c r="N106" s="46"/>
      <c r="O106" s="46"/>
      <c r="P106" s="46"/>
      <c r="Q106" s="46"/>
      <c r="R106" s="46"/>
    </row>
    <row r="107" spans="1:18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6"/>
      <c r="L107" s="46"/>
      <c r="M107" s="46"/>
      <c r="N107" s="46"/>
      <c r="O107" s="46"/>
      <c r="P107" s="46"/>
      <c r="Q107" s="46"/>
      <c r="R107" s="46"/>
    </row>
    <row r="108" spans="1:18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6"/>
      <c r="L108" s="46"/>
      <c r="M108" s="46"/>
      <c r="N108" s="46"/>
      <c r="O108" s="46"/>
      <c r="P108" s="46"/>
      <c r="Q108" s="46"/>
      <c r="R108" s="46"/>
    </row>
    <row r="109" spans="1:18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6"/>
      <c r="L109" s="46"/>
      <c r="M109" s="46"/>
      <c r="N109" s="46"/>
      <c r="O109" s="46"/>
      <c r="P109" s="46"/>
      <c r="Q109" s="46"/>
      <c r="R109" s="46"/>
    </row>
    <row r="110" spans="1:18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6"/>
      <c r="L110" s="46"/>
      <c r="M110" s="46"/>
      <c r="N110" s="46"/>
      <c r="O110" s="46"/>
      <c r="P110" s="46"/>
      <c r="Q110" s="46"/>
      <c r="R110" s="46"/>
    </row>
    <row r="111" spans="1:18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6"/>
      <c r="L111" s="46"/>
      <c r="M111" s="46"/>
      <c r="N111" s="46"/>
      <c r="O111" s="46"/>
      <c r="P111" s="46"/>
      <c r="Q111" s="46"/>
      <c r="R111" s="46"/>
    </row>
    <row r="112" spans="1:18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6"/>
      <c r="L112" s="46"/>
      <c r="M112" s="46"/>
      <c r="N112" s="46"/>
      <c r="O112" s="46"/>
      <c r="P112" s="46"/>
      <c r="Q112" s="46"/>
      <c r="R112" s="46"/>
    </row>
    <row r="113" spans="1:18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6"/>
      <c r="L113" s="46"/>
      <c r="M113" s="46"/>
      <c r="N113" s="46"/>
      <c r="O113" s="46"/>
      <c r="P113" s="46"/>
      <c r="Q113" s="46"/>
      <c r="R113" s="46"/>
    </row>
    <row r="114" spans="1:18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6"/>
      <c r="L114" s="46"/>
      <c r="M114" s="46"/>
      <c r="N114" s="46"/>
      <c r="O114" s="46"/>
      <c r="P114" s="46"/>
      <c r="Q114" s="46"/>
      <c r="R114" s="46"/>
    </row>
    <row r="115" spans="1:18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6"/>
      <c r="L115" s="46"/>
      <c r="M115" s="46"/>
      <c r="N115" s="46"/>
      <c r="O115" s="46"/>
      <c r="P115" s="46"/>
      <c r="Q115" s="46"/>
      <c r="R115" s="46"/>
    </row>
    <row r="116" spans="1:18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6"/>
      <c r="L116" s="46"/>
      <c r="M116" s="46"/>
      <c r="N116" s="46"/>
      <c r="O116" s="46"/>
      <c r="P116" s="46"/>
      <c r="Q116" s="46"/>
      <c r="R116" s="46"/>
    </row>
    <row r="117" spans="1:18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6"/>
      <c r="L117" s="46"/>
      <c r="M117" s="46"/>
      <c r="N117" s="46"/>
      <c r="O117" s="46"/>
      <c r="P117" s="46"/>
      <c r="Q117" s="46"/>
      <c r="R117" s="46"/>
    </row>
    <row r="118" spans="1:18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6"/>
      <c r="L118" s="46"/>
      <c r="M118" s="46"/>
      <c r="N118" s="46"/>
      <c r="O118" s="46"/>
      <c r="P118" s="46"/>
      <c r="Q118" s="46"/>
      <c r="R118" s="46"/>
    </row>
    <row r="119" spans="1:18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6"/>
      <c r="L119" s="46"/>
      <c r="M119" s="46"/>
      <c r="N119" s="46"/>
      <c r="O119" s="46"/>
      <c r="P119" s="46"/>
      <c r="Q119" s="46"/>
      <c r="R119" s="46"/>
    </row>
    <row r="120" spans="1:18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6"/>
      <c r="L120" s="46"/>
      <c r="M120" s="46"/>
      <c r="N120" s="46"/>
      <c r="O120" s="46"/>
      <c r="P120" s="46"/>
      <c r="Q120" s="46"/>
      <c r="R120" s="46"/>
    </row>
    <row r="121" spans="1:18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6"/>
      <c r="L121" s="46"/>
      <c r="M121" s="46"/>
      <c r="N121" s="46"/>
      <c r="O121" s="46"/>
      <c r="P121" s="46"/>
      <c r="Q121" s="46"/>
      <c r="R121" s="46"/>
    </row>
    <row r="122" spans="1:18" ht="12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6"/>
      <c r="L122" s="46"/>
      <c r="M122" s="46"/>
      <c r="N122" s="46"/>
      <c r="O122" s="46"/>
      <c r="P122" s="46"/>
      <c r="Q122" s="46"/>
      <c r="R122" s="46"/>
    </row>
    <row r="123" spans="1:18" ht="12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6"/>
      <c r="L123" s="46"/>
      <c r="M123" s="46"/>
      <c r="N123" s="46"/>
      <c r="O123" s="46"/>
      <c r="P123" s="46"/>
      <c r="Q123" s="46"/>
      <c r="R123" s="46"/>
    </row>
    <row r="124" spans="1:18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6"/>
      <c r="L124" s="46"/>
      <c r="M124" s="46"/>
      <c r="N124" s="46"/>
      <c r="O124" s="46"/>
      <c r="P124" s="46"/>
      <c r="Q124" s="46"/>
      <c r="R124" s="46"/>
    </row>
    <row r="125" spans="1:18" ht="12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6"/>
      <c r="L125" s="46"/>
      <c r="M125" s="46"/>
      <c r="N125" s="46"/>
      <c r="O125" s="46"/>
      <c r="P125" s="46"/>
      <c r="Q125" s="46"/>
      <c r="R125" s="46"/>
    </row>
    <row r="126" spans="1:18" ht="12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6"/>
      <c r="L126" s="46"/>
      <c r="M126" s="46"/>
      <c r="N126" s="46"/>
      <c r="O126" s="46"/>
      <c r="P126" s="46"/>
      <c r="Q126" s="46"/>
      <c r="R126" s="46"/>
    </row>
    <row r="127" spans="1:18" ht="12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6"/>
      <c r="L127" s="46"/>
      <c r="M127" s="46"/>
      <c r="N127" s="46"/>
      <c r="O127" s="46"/>
      <c r="P127" s="46"/>
      <c r="Q127" s="46"/>
      <c r="R127" s="46"/>
    </row>
    <row r="128" spans="1:18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6"/>
      <c r="L128" s="46"/>
      <c r="M128" s="46"/>
      <c r="N128" s="46"/>
      <c r="O128" s="46"/>
      <c r="P128" s="46"/>
      <c r="Q128" s="46"/>
      <c r="R128" s="46"/>
    </row>
    <row r="129" spans="1:18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6"/>
      <c r="L129" s="46"/>
      <c r="M129" s="46"/>
      <c r="N129" s="46"/>
      <c r="O129" s="46"/>
      <c r="P129" s="46"/>
      <c r="Q129" s="46"/>
      <c r="R129" s="46"/>
    </row>
    <row r="130" spans="1:18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6"/>
      <c r="L130" s="46"/>
      <c r="M130" s="46"/>
      <c r="N130" s="46"/>
      <c r="O130" s="46"/>
      <c r="P130" s="46"/>
      <c r="Q130" s="46"/>
      <c r="R130" s="46"/>
    </row>
    <row r="131" spans="1:18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6"/>
      <c r="L131" s="46"/>
      <c r="M131" s="46"/>
      <c r="N131" s="46"/>
      <c r="O131" s="46"/>
      <c r="P131" s="46"/>
      <c r="Q131" s="46"/>
      <c r="R131" s="46"/>
    </row>
    <row r="132" spans="1:18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6"/>
      <c r="L132" s="46"/>
      <c r="M132" s="46"/>
      <c r="N132" s="46"/>
      <c r="O132" s="46"/>
      <c r="P132" s="46"/>
      <c r="Q132" s="46"/>
      <c r="R132" s="46"/>
    </row>
    <row r="133" spans="1:18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6"/>
      <c r="L133" s="46"/>
      <c r="M133" s="46"/>
      <c r="N133" s="46"/>
      <c r="O133" s="46"/>
      <c r="P133" s="46"/>
      <c r="Q133" s="46"/>
      <c r="R133" s="46"/>
    </row>
    <row r="134" spans="1:18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6"/>
      <c r="L134" s="46"/>
      <c r="M134" s="46"/>
      <c r="N134" s="46"/>
      <c r="O134" s="46"/>
      <c r="P134" s="46"/>
      <c r="Q134" s="46"/>
      <c r="R134" s="46"/>
    </row>
    <row r="135" spans="1:18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6"/>
      <c r="L135" s="46"/>
      <c r="M135" s="46"/>
      <c r="N135" s="46"/>
      <c r="O135" s="46"/>
      <c r="P135" s="46"/>
      <c r="Q135" s="46"/>
      <c r="R135" s="46"/>
    </row>
    <row r="136" spans="1:18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6"/>
      <c r="L136" s="46"/>
      <c r="M136" s="46"/>
      <c r="N136" s="46"/>
      <c r="O136" s="46"/>
      <c r="P136" s="46"/>
      <c r="Q136" s="46"/>
      <c r="R136" s="46"/>
    </row>
    <row r="137" spans="1:18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6"/>
      <c r="L137" s="46"/>
      <c r="M137" s="46"/>
      <c r="N137" s="46"/>
      <c r="O137" s="46"/>
      <c r="P137" s="46"/>
      <c r="Q137" s="46"/>
      <c r="R137" s="46"/>
    </row>
    <row r="138" spans="1:18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6"/>
      <c r="L138" s="46"/>
      <c r="M138" s="46"/>
      <c r="N138" s="46"/>
      <c r="O138" s="46"/>
      <c r="P138" s="46"/>
      <c r="Q138" s="46"/>
      <c r="R138" s="46"/>
    </row>
    <row r="139" spans="1:18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6"/>
      <c r="L139" s="46"/>
      <c r="M139" s="46"/>
      <c r="N139" s="46"/>
      <c r="O139" s="46"/>
      <c r="P139" s="46"/>
      <c r="Q139" s="46"/>
      <c r="R139" s="46"/>
    </row>
    <row r="140" spans="1:18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6"/>
      <c r="L140" s="46"/>
      <c r="M140" s="46"/>
      <c r="N140" s="46"/>
      <c r="O140" s="46"/>
      <c r="P140" s="46"/>
      <c r="Q140" s="46"/>
      <c r="R140" s="46"/>
    </row>
    <row r="141" spans="1:18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6"/>
      <c r="L141" s="46"/>
      <c r="M141" s="46"/>
      <c r="N141" s="46"/>
      <c r="O141" s="46"/>
      <c r="P141" s="46"/>
      <c r="Q141" s="46"/>
      <c r="R141" s="46"/>
    </row>
    <row r="142" spans="1:18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6"/>
      <c r="L142" s="46"/>
      <c r="M142" s="46"/>
      <c r="N142" s="46"/>
      <c r="O142" s="46"/>
      <c r="P142" s="46"/>
      <c r="Q142" s="46"/>
      <c r="R142" s="46"/>
    </row>
    <row r="143" spans="1:18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6"/>
      <c r="L143" s="46"/>
      <c r="M143" s="46"/>
      <c r="N143" s="46"/>
      <c r="O143" s="46"/>
      <c r="P143" s="46"/>
      <c r="Q143" s="46"/>
      <c r="R143" s="46"/>
    </row>
    <row r="144" spans="1:18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6"/>
      <c r="L144" s="46"/>
      <c r="M144" s="46"/>
      <c r="N144" s="46"/>
      <c r="O144" s="46"/>
      <c r="P144" s="46"/>
      <c r="Q144" s="46"/>
      <c r="R144" s="46"/>
    </row>
    <row r="145" spans="1:18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6"/>
      <c r="L145" s="46"/>
      <c r="M145" s="46"/>
      <c r="N145" s="46"/>
      <c r="O145" s="46"/>
      <c r="P145" s="46"/>
      <c r="Q145" s="46"/>
      <c r="R145" s="46"/>
    </row>
    <row r="146" spans="1:18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6"/>
      <c r="L146" s="46"/>
      <c r="M146" s="46"/>
      <c r="N146" s="46"/>
      <c r="O146" s="46"/>
      <c r="P146" s="46"/>
      <c r="Q146" s="46"/>
      <c r="R146" s="46"/>
    </row>
    <row r="147" spans="1:18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6"/>
      <c r="L147" s="46"/>
      <c r="M147" s="46"/>
      <c r="N147" s="46"/>
      <c r="O147" s="46"/>
      <c r="P147" s="46"/>
      <c r="Q147" s="46"/>
      <c r="R147" s="46"/>
    </row>
    <row r="148" spans="1:18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6"/>
      <c r="L148" s="46"/>
      <c r="M148" s="46"/>
      <c r="N148" s="46"/>
      <c r="O148" s="46"/>
      <c r="P148" s="46"/>
      <c r="Q148" s="46"/>
      <c r="R148" s="46"/>
    </row>
    <row r="149" spans="1:18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6"/>
      <c r="L149" s="46"/>
      <c r="M149" s="46"/>
      <c r="N149" s="46"/>
      <c r="O149" s="46"/>
      <c r="P149" s="46"/>
      <c r="Q149" s="46"/>
      <c r="R149" s="46"/>
    </row>
    <row r="150" spans="1:18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6"/>
      <c r="L150" s="46"/>
      <c r="M150" s="46"/>
      <c r="N150" s="46"/>
      <c r="O150" s="46"/>
      <c r="P150" s="46"/>
      <c r="Q150" s="46"/>
      <c r="R150" s="46"/>
    </row>
    <row r="151" spans="1:18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6"/>
      <c r="L151" s="46"/>
      <c r="M151" s="46"/>
      <c r="N151" s="46"/>
      <c r="O151" s="46"/>
      <c r="P151" s="46"/>
      <c r="Q151" s="46"/>
      <c r="R151" s="46"/>
    </row>
    <row r="152" spans="1:18" ht="12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6"/>
      <c r="L152" s="46"/>
      <c r="M152" s="46"/>
      <c r="N152" s="46"/>
      <c r="O152" s="46"/>
      <c r="P152" s="46"/>
      <c r="Q152" s="46"/>
      <c r="R152" s="46"/>
    </row>
    <row r="153" spans="1:18" ht="12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6"/>
      <c r="L153" s="46"/>
      <c r="M153" s="46"/>
      <c r="N153" s="46"/>
      <c r="O153" s="46"/>
      <c r="P153" s="46"/>
      <c r="Q153" s="46"/>
      <c r="R153" s="46"/>
    </row>
    <row r="154" spans="1:18" ht="12.7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6"/>
      <c r="L154" s="46"/>
      <c r="M154" s="46"/>
      <c r="N154" s="46"/>
      <c r="O154" s="46"/>
      <c r="P154" s="46"/>
      <c r="Q154" s="46"/>
      <c r="R154" s="46"/>
    </row>
    <row r="155" spans="1:18" ht="12.7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6"/>
      <c r="L155" s="46"/>
      <c r="M155" s="46"/>
      <c r="N155" s="46"/>
      <c r="O155" s="46"/>
      <c r="P155" s="46"/>
      <c r="Q155" s="46"/>
      <c r="R155" s="46"/>
    </row>
    <row r="156" spans="1:18" ht="12.7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6"/>
      <c r="L156" s="46"/>
      <c r="M156" s="46"/>
      <c r="N156" s="46"/>
      <c r="O156" s="46"/>
      <c r="P156" s="46"/>
      <c r="Q156" s="46"/>
      <c r="R156" s="46"/>
    </row>
    <row r="157" spans="1:18" ht="12.7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6"/>
      <c r="L157" s="46"/>
      <c r="M157" s="46"/>
      <c r="N157" s="46"/>
      <c r="O157" s="46"/>
      <c r="P157" s="46"/>
      <c r="Q157" s="46"/>
      <c r="R157" s="46"/>
    </row>
    <row r="158" spans="1:18" ht="12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6"/>
      <c r="L158" s="46"/>
      <c r="M158" s="46"/>
      <c r="N158" s="46"/>
      <c r="O158" s="46"/>
      <c r="P158" s="46"/>
      <c r="Q158" s="46"/>
      <c r="R158" s="46"/>
    </row>
    <row r="159" spans="1:18" ht="12.7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6"/>
      <c r="L159" s="46"/>
      <c r="M159" s="46"/>
      <c r="N159" s="46"/>
      <c r="O159" s="46"/>
      <c r="P159" s="46"/>
      <c r="Q159" s="46"/>
      <c r="R159" s="46"/>
    </row>
    <row r="160" spans="1:18" ht="12.7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6"/>
      <c r="L160" s="46"/>
      <c r="M160" s="46"/>
      <c r="N160" s="46"/>
      <c r="O160" s="46"/>
      <c r="P160" s="46"/>
      <c r="Q160" s="46"/>
      <c r="R160" s="46"/>
    </row>
    <row r="161" spans="1:18" ht="12.7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6"/>
      <c r="L161" s="46"/>
      <c r="M161" s="46"/>
      <c r="N161" s="46"/>
      <c r="O161" s="46"/>
      <c r="P161" s="46"/>
      <c r="Q161" s="46"/>
      <c r="R161" s="46"/>
    </row>
    <row r="162" spans="1:18" ht="12.7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6"/>
      <c r="L162" s="46"/>
      <c r="M162" s="46"/>
      <c r="N162" s="46"/>
      <c r="O162" s="46"/>
      <c r="P162" s="46"/>
      <c r="Q162" s="46"/>
      <c r="R162" s="46"/>
    </row>
    <row r="163" spans="1:18" ht="12.7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6"/>
      <c r="L163" s="46"/>
      <c r="M163" s="46"/>
      <c r="N163" s="46"/>
      <c r="O163" s="46"/>
      <c r="P163" s="46"/>
      <c r="Q163" s="46"/>
      <c r="R163" s="46"/>
    </row>
    <row r="164" spans="1:18" ht="12.7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6"/>
      <c r="L164" s="46"/>
      <c r="M164" s="46"/>
      <c r="N164" s="46"/>
      <c r="O164" s="46"/>
      <c r="P164" s="46"/>
      <c r="Q164" s="46"/>
      <c r="R164" s="46"/>
    </row>
    <row r="165" spans="1:18" ht="12.7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6"/>
      <c r="L165" s="46"/>
      <c r="M165" s="46"/>
      <c r="N165" s="46"/>
      <c r="O165" s="46"/>
      <c r="P165" s="46"/>
      <c r="Q165" s="46"/>
      <c r="R165" s="46"/>
    </row>
    <row r="166" spans="1:18" ht="12.7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6"/>
      <c r="L166" s="46"/>
      <c r="M166" s="46"/>
      <c r="N166" s="46"/>
      <c r="O166" s="46"/>
      <c r="P166" s="46"/>
      <c r="Q166" s="46"/>
      <c r="R166" s="46"/>
    </row>
    <row r="167" spans="1:18" ht="12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6"/>
      <c r="L167" s="46"/>
      <c r="M167" s="46"/>
      <c r="N167" s="46"/>
      <c r="O167" s="46"/>
      <c r="P167" s="46"/>
      <c r="Q167" s="46"/>
      <c r="R167" s="46"/>
    </row>
    <row r="168" spans="1:18" ht="12.7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6"/>
      <c r="L168" s="46"/>
      <c r="M168" s="46"/>
      <c r="N168" s="46"/>
      <c r="O168" s="46"/>
      <c r="P168" s="46"/>
      <c r="Q168" s="46"/>
      <c r="R168" s="46"/>
    </row>
    <row r="169" spans="1:18" ht="12.7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6"/>
      <c r="L169" s="46"/>
      <c r="M169" s="46"/>
      <c r="N169" s="46"/>
      <c r="O169" s="46"/>
      <c r="P169" s="46"/>
      <c r="Q169" s="46"/>
      <c r="R169" s="46"/>
    </row>
    <row r="170" spans="1:18" ht="12.7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6"/>
      <c r="L170" s="46"/>
      <c r="M170" s="46"/>
      <c r="N170" s="46"/>
      <c r="O170" s="46"/>
      <c r="P170" s="46"/>
      <c r="Q170" s="46"/>
      <c r="R170" s="46"/>
    </row>
    <row r="171" spans="1:18" ht="12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6"/>
      <c r="L171" s="46"/>
      <c r="M171" s="46"/>
      <c r="N171" s="46"/>
      <c r="O171" s="46"/>
      <c r="P171" s="46"/>
      <c r="Q171" s="46"/>
      <c r="R171" s="46"/>
    </row>
    <row r="172" spans="1:18" ht="12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6"/>
      <c r="L172" s="46"/>
      <c r="M172" s="46"/>
      <c r="N172" s="46"/>
      <c r="O172" s="46"/>
      <c r="P172" s="46"/>
      <c r="Q172" s="46"/>
      <c r="R172" s="46"/>
    </row>
    <row r="173" spans="1:18" ht="12.7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6"/>
      <c r="L173" s="46"/>
      <c r="M173" s="46"/>
      <c r="N173" s="46"/>
      <c r="O173" s="46"/>
      <c r="P173" s="46"/>
      <c r="Q173" s="46"/>
      <c r="R173" s="46"/>
    </row>
    <row r="174" spans="1:18" ht="12.7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6"/>
      <c r="L174" s="46"/>
      <c r="M174" s="46"/>
      <c r="N174" s="46"/>
      <c r="O174" s="46"/>
      <c r="P174" s="46"/>
      <c r="Q174" s="46"/>
      <c r="R174" s="46"/>
    </row>
    <row r="175" spans="1:18" ht="12.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6"/>
      <c r="L175" s="46"/>
      <c r="M175" s="46"/>
      <c r="N175" s="46"/>
      <c r="O175" s="46"/>
      <c r="P175" s="46"/>
      <c r="Q175" s="46"/>
      <c r="R175" s="46"/>
    </row>
    <row r="176" spans="1:18" ht="12.7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6"/>
      <c r="L176" s="46"/>
      <c r="M176" s="46"/>
      <c r="N176" s="46"/>
      <c r="O176" s="46"/>
      <c r="P176" s="46"/>
      <c r="Q176" s="46"/>
      <c r="R176" s="46"/>
    </row>
    <row r="177" spans="1:18" ht="12.7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6"/>
      <c r="L177" s="46"/>
      <c r="M177" s="46"/>
      <c r="N177" s="46"/>
      <c r="O177" s="46"/>
      <c r="P177" s="46"/>
      <c r="Q177" s="46"/>
      <c r="R177" s="46"/>
    </row>
    <row r="178" spans="1:18" ht="12.7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6"/>
      <c r="L178" s="46"/>
      <c r="M178" s="46"/>
      <c r="N178" s="46"/>
      <c r="O178" s="46"/>
      <c r="P178" s="46"/>
      <c r="Q178" s="46"/>
      <c r="R178" s="46"/>
    </row>
    <row r="179" spans="1:18" ht="12.7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6"/>
      <c r="L179" s="46"/>
      <c r="M179" s="46"/>
      <c r="N179" s="46"/>
      <c r="O179" s="46"/>
      <c r="P179" s="46"/>
      <c r="Q179" s="46"/>
      <c r="R179" s="46"/>
    </row>
    <row r="180" spans="1:18" ht="12.7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6"/>
      <c r="L180" s="46"/>
      <c r="M180" s="46"/>
      <c r="N180" s="46"/>
      <c r="O180" s="46"/>
      <c r="P180" s="46"/>
      <c r="Q180" s="46"/>
      <c r="R180" s="46"/>
    </row>
    <row r="181" spans="1:18" ht="12.7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6"/>
      <c r="L181" s="46"/>
      <c r="M181" s="46"/>
      <c r="N181" s="46"/>
      <c r="O181" s="46"/>
      <c r="P181" s="46"/>
      <c r="Q181" s="46"/>
      <c r="R181" s="46"/>
    </row>
    <row r="182" spans="1:18" ht="12.7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6"/>
      <c r="L182" s="46"/>
      <c r="M182" s="46"/>
      <c r="N182" s="46"/>
      <c r="O182" s="46"/>
      <c r="P182" s="46"/>
      <c r="Q182" s="46"/>
      <c r="R182" s="46"/>
    </row>
    <row r="183" spans="1:18" ht="12.7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6"/>
      <c r="L183" s="46"/>
      <c r="M183" s="46"/>
      <c r="N183" s="46"/>
      <c r="O183" s="46"/>
      <c r="P183" s="46"/>
      <c r="Q183" s="46"/>
      <c r="R183" s="46"/>
    </row>
    <row r="184" spans="1:18" ht="12.7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6"/>
      <c r="L184" s="46"/>
      <c r="M184" s="46"/>
      <c r="N184" s="46"/>
      <c r="O184" s="46"/>
      <c r="P184" s="46"/>
      <c r="Q184" s="46"/>
      <c r="R184" s="46"/>
    </row>
    <row r="185" spans="1:18" ht="12.7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</row>
    <row r="186" spans="1:18" ht="12.7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</row>
    <row r="187" spans="1:18" ht="12.7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</row>
    <row r="188" spans="1:18" ht="12.7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</row>
    <row r="189" spans="1:18" ht="12.7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</row>
    <row r="190" spans="1:18" ht="12.7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</row>
    <row r="191" spans="1:18" ht="12.7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</row>
    <row r="192" spans="1:18" ht="12.7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</row>
    <row r="193" spans="1:18" ht="12.7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</row>
    <row r="194" spans="1:18" ht="12.7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</row>
    <row r="195" spans="1:18" ht="12.7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</row>
    <row r="196" spans="1:18" ht="12.7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</row>
    <row r="197" spans="1:18" ht="12.7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</row>
    <row r="198" spans="1:18" ht="12.7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</row>
    <row r="199" spans="1:18" ht="12.7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</row>
    <row r="200" spans="1:18" ht="12.7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</row>
    <row r="201" spans="1:18" ht="12.7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</row>
    <row r="202" spans="1:18" ht="12.7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</row>
    <row r="203" spans="1:18" ht="12.7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</row>
    <row r="204" spans="1:18" ht="12.7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</row>
    <row r="205" spans="1:18" ht="12.7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</row>
    <row r="206" spans="1:18" ht="12.7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</row>
    <row r="207" spans="1:18" ht="12.7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</row>
    <row r="208" spans="1:18" ht="12.7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</row>
    <row r="209" spans="1:18" ht="12.7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</row>
    <row r="210" spans="1:18" ht="12.7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</row>
    <row r="211" spans="1:18" ht="12.7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</row>
    <row r="212" spans="1:18" ht="12.7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</row>
    <row r="213" spans="1:18" ht="12.7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</row>
    <row r="214" spans="1:18" ht="12.7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</row>
    <row r="215" spans="1:18" ht="12.7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</row>
    <row r="216" spans="1:18" ht="12.7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</row>
    <row r="217" spans="1:18" ht="12.7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</row>
    <row r="218" spans="1:18" ht="12.7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</row>
    <row r="219" spans="1:18" ht="12.7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</row>
    <row r="220" spans="1:18" ht="12.7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</row>
    <row r="221" spans="1:18" ht="12.7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</row>
    <row r="222" spans="1:18" ht="12.7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</row>
    <row r="223" spans="1:18" ht="12.7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</row>
    <row r="224" spans="1:18" ht="12.7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</row>
    <row r="225" spans="1:18" ht="12.7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</row>
    <row r="226" spans="1:18" ht="12.7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</row>
    <row r="227" spans="1:18" ht="12.7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</row>
    <row r="228" spans="1:18" ht="12.7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</row>
    <row r="229" spans="1:18" ht="12.7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</row>
    <row r="230" spans="1:18" ht="12.7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</row>
    <row r="231" spans="1:18" ht="12.7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</row>
    <row r="232" spans="1:18" ht="12.7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</row>
    <row r="233" spans="1:18" ht="12.7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</row>
    <row r="234" spans="1:18" ht="12.7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</row>
    <row r="235" spans="1:18" ht="12.7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</row>
    <row r="236" spans="1:18" ht="12.7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</row>
    <row r="237" spans="1:18" ht="12.7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</row>
    <row r="238" spans="1:18" ht="12.7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</row>
    <row r="239" spans="1:18" ht="12.7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</row>
    <row r="240" spans="1:18" ht="12.7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</row>
    <row r="241" spans="1:18" ht="12.7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</row>
    <row r="242" spans="1:18" ht="12.7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</row>
    <row r="243" spans="1:18" ht="12.7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</row>
    <row r="244" spans="1:18" ht="12.7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</row>
    <row r="245" spans="1:18" ht="12.7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</row>
    <row r="246" spans="1:18" ht="12.7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</row>
    <row r="247" spans="1:18" ht="12.7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</row>
    <row r="248" spans="1:18" ht="12.7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</row>
    <row r="249" spans="1:18" ht="12.7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</row>
    <row r="250" spans="1:18" ht="12.7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</row>
    <row r="251" spans="1:18" ht="12.7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</row>
    <row r="252" spans="1:18" ht="12.7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</row>
    <row r="253" spans="1:18" ht="12.7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</row>
    <row r="254" spans="1:18" ht="12.7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</row>
    <row r="255" spans="1:18" ht="12.7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</row>
    <row r="256" spans="1:18" ht="12.7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</row>
    <row r="257" spans="1:18" ht="12.7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</row>
    <row r="258" spans="1:18" ht="12.7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</row>
    <row r="259" spans="1:18" ht="12.7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</row>
    <row r="260" spans="1:18" ht="12.7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</row>
    <row r="261" spans="1:18" ht="12.7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</row>
    <row r="262" spans="1:18" ht="12.7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</row>
    <row r="263" spans="1:18" ht="12.7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</row>
    <row r="264" spans="1:18" ht="12.7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</row>
    <row r="265" spans="1:18" ht="12.7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</row>
    <row r="266" spans="1:18" ht="12.7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</row>
    <row r="267" spans="1:18" ht="12.7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</row>
    <row r="268" spans="1:18" ht="12.7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</row>
    <row r="269" spans="1:18" ht="12.7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</row>
    <row r="270" spans="1:18" ht="12.7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</row>
    <row r="271" spans="1:18" ht="12.7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</row>
    <row r="272" spans="1:18" ht="12.7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</row>
    <row r="273" spans="1:18" ht="12.7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</row>
    <row r="274" spans="1:18" ht="12.7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</row>
    <row r="275" spans="1:18" ht="12.7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</row>
    <row r="276" spans="1:18" ht="12.7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</row>
    <row r="277" spans="1:18" ht="12.7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</row>
    <row r="278" spans="1:18" ht="12.7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</row>
    <row r="279" spans="1:18" ht="12.7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</row>
    <row r="280" spans="1:18" ht="12.7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</row>
    <row r="281" spans="1:18" ht="12.7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</row>
    <row r="282" spans="1:18" ht="12.7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</row>
    <row r="283" spans="1:18" ht="12.7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</row>
    <row r="284" spans="1:18" ht="12.7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</row>
    <row r="285" spans="1:18" ht="12.7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</row>
    <row r="286" spans="1:18" ht="12.7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</row>
  </sheetData>
  <mergeCells count="6">
    <mergeCell ref="A94:K94"/>
    <mergeCell ref="A2:J2"/>
    <mergeCell ref="A3:J3"/>
    <mergeCell ref="A4:J4"/>
    <mergeCell ref="H18:J18"/>
    <mergeCell ref="D18:F18"/>
  </mergeCells>
  <printOptions horizontalCentered="1"/>
  <pageMargins left="0.25" right="0" top="0" bottom="0" header="0.15" footer="0.25"/>
  <pageSetup fitToHeight="0" fitToWidth="0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zoomScale="75" zoomScaleNormal="75" workbookViewId="0" topLeftCell="A66">
      <selection activeCell="H58" sqref="H58"/>
    </sheetView>
  </sheetViews>
  <sheetFormatPr defaultColWidth="9.140625" defaultRowHeight="12.75"/>
  <cols>
    <col min="1" max="1" width="3.140625" style="0" customWidth="1"/>
    <col min="2" max="2" width="2.7109375" style="0" customWidth="1"/>
    <col min="3" max="3" width="13.7109375" style="0" customWidth="1"/>
    <col min="5" max="5" width="12.8515625" style="0" customWidth="1"/>
    <col min="6" max="6" width="10.28125" style="0" customWidth="1"/>
    <col min="7" max="8" width="15.7109375" style="0" customWidth="1"/>
    <col min="9" max="9" width="2.7109375" style="0" customWidth="1"/>
    <col min="10" max="10" width="18.7109375" style="0" customWidth="1"/>
    <col min="12" max="12" width="9.7109375" style="0" customWidth="1"/>
  </cols>
  <sheetData>
    <row r="1" spans="1:11" ht="15.7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2.75">
      <c r="A2" s="181" t="s">
        <v>19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12.75">
      <c r="A3" s="181" t="s">
        <v>20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7" ht="12.75">
      <c r="A4" s="36"/>
      <c r="B4" s="36"/>
      <c r="C4" s="36"/>
      <c r="D4" s="36"/>
      <c r="E4" s="36"/>
      <c r="F4" s="36"/>
      <c r="G4" s="36"/>
    </row>
    <row r="5" spans="1:12" ht="13.5" thickBot="1">
      <c r="A5" s="55" t="s">
        <v>207</v>
      </c>
      <c r="B5" s="37"/>
      <c r="C5" s="37"/>
      <c r="D5" s="37"/>
      <c r="E5" s="37"/>
      <c r="F5" s="37"/>
      <c r="G5" s="37"/>
      <c r="H5" s="38"/>
      <c r="I5" s="38"/>
      <c r="J5" s="38"/>
      <c r="K5" s="20"/>
      <c r="L5" s="20"/>
    </row>
    <row r="6" spans="1:7" ht="15.75">
      <c r="A6" s="30"/>
      <c r="B6" s="28"/>
      <c r="C6" s="25"/>
      <c r="D6" s="26"/>
      <c r="E6" s="26"/>
      <c r="F6" s="26"/>
      <c r="G6" s="29"/>
    </row>
    <row r="7" spans="1:7" ht="15.75">
      <c r="A7" s="56" t="s">
        <v>241</v>
      </c>
      <c r="B7" s="28"/>
      <c r="C7" s="25"/>
      <c r="D7" s="26"/>
      <c r="E7" s="26"/>
      <c r="F7" s="26"/>
      <c r="G7" s="29"/>
    </row>
    <row r="8" spans="1:10" ht="15.75">
      <c r="A8" s="85" t="s">
        <v>210</v>
      </c>
      <c r="B8" s="28"/>
      <c r="C8" s="25"/>
      <c r="D8" s="26"/>
      <c r="E8" s="26"/>
      <c r="F8" s="26"/>
      <c r="G8" s="29"/>
      <c r="J8" s="78"/>
    </row>
    <row r="9" spans="1:10" ht="15.75">
      <c r="A9" s="56"/>
      <c r="B9" s="28"/>
      <c r="C9" s="25"/>
      <c r="D9" s="26"/>
      <c r="E9" s="26"/>
      <c r="F9" s="26"/>
      <c r="G9" s="29"/>
      <c r="H9" s="122"/>
      <c r="J9" s="21" t="s">
        <v>49</v>
      </c>
    </row>
    <row r="10" spans="1:10" ht="15.75">
      <c r="A10" s="56"/>
      <c r="B10" s="28"/>
      <c r="C10" s="25"/>
      <c r="D10" s="26"/>
      <c r="E10" s="26"/>
      <c r="F10" s="26"/>
      <c r="G10" s="29"/>
      <c r="H10" s="132" t="s">
        <v>102</v>
      </c>
      <c r="I10" s="10"/>
      <c r="J10" s="21" t="s">
        <v>58</v>
      </c>
    </row>
    <row r="11" spans="1:10" ht="15.75">
      <c r="A11" s="56"/>
      <c r="B11" s="28"/>
      <c r="C11" s="25"/>
      <c r="D11" s="26"/>
      <c r="E11" s="26"/>
      <c r="F11" s="26"/>
      <c r="G11" s="29"/>
      <c r="H11" s="132" t="s">
        <v>144</v>
      </c>
      <c r="I11" s="10"/>
      <c r="J11" s="66" t="s">
        <v>144</v>
      </c>
    </row>
    <row r="12" spans="1:10" ht="15.75">
      <c r="A12" s="56"/>
      <c r="B12" s="28"/>
      <c r="C12" s="25"/>
      <c r="D12" s="26"/>
      <c r="E12" s="26"/>
      <c r="F12" s="26"/>
      <c r="G12" s="29"/>
      <c r="H12" s="119" t="s">
        <v>15</v>
      </c>
      <c r="I12" s="10"/>
      <c r="J12" s="21" t="s">
        <v>15</v>
      </c>
    </row>
    <row r="13" spans="1:10" ht="15.75">
      <c r="A13" s="56"/>
      <c r="B13" s="28"/>
      <c r="C13" s="25"/>
      <c r="D13" s="26"/>
      <c r="E13" s="26"/>
      <c r="F13" s="26"/>
      <c r="G13" s="29"/>
      <c r="H13" s="120" t="s">
        <v>206</v>
      </c>
      <c r="I13" s="2"/>
      <c r="J13" s="64" t="s">
        <v>208</v>
      </c>
    </row>
    <row r="14" ht="12.75">
      <c r="H14" s="122"/>
    </row>
    <row r="15" spans="8:10" ht="12.75">
      <c r="H15" s="119" t="s">
        <v>5</v>
      </c>
      <c r="J15" s="21" t="s">
        <v>5</v>
      </c>
    </row>
    <row r="16" spans="1:8" ht="12.75">
      <c r="A16" s="4" t="s">
        <v>32</v>
      </c>
      <c r="H16" s="122"/>
    </row>
    <row r="17" spans="2:13" ht="12.75">
      <c r="B17" s="51" t="s">
        <v>55</v>
      </c>
      <c r="H17" s="117">
        <f>'P&amp;L'!H45</f>
        <v>64724.23494981636</v>
      </c>
      <c r="J17" s="43">
        <f>49547</f>
        <v>49547</v>
      </c>
      <c r="M17" s="46"/>
    </row>
    <row r="18" spans="8:10" ht="12.75">
      <c r="H18" s="117"/>
      <c r="J18" s="43"/>
    </row>
    <row r="19" spans="2:10" ht="12.75">
      <c r="B19" s="51" t="s">
        <v>47</v>
      </c>
      <c r="H19" s="117"/>
      <c r="J19" s="43"/>
    </row>
    <row r="20" spans="3:10" ht="12.75">
      <c r="C20" t="s">
        <v>33</v>
      </c>
      <c r="H20" s="117">
        <f>'[3]cashflow'!$I$51</f>
        <v>-48899.924291623305</v>
      </c>
      <c r="J20" s="43">
        <f>-12459</f>
        <v>-12459</v>
      </c>
    </row>
    <row r="21" spans="3:10" ht="12.75">
      <c r="C21" t="s">
        <v>34</v>
      </c>
      <c r="H21" s="117">
        <f>'[3]cashflow'!$G$46</f>
        <v>3537.3810399999993</v>
      </c>
      <c r="J21" s="43">
        <v>3284</v>
      </c>
    </row>
    <row r="22" spans="3:10" ht="12.75">
      <c r="C22" t="s">
        <v>35</v>
      </c>
      <c r="H22" s="117">
        <f>'[3]cashflow'!$G$47</f>
        <v>-7004.414427280999</v>
      </c>
      <c r="J22" s="43">
        <f>-6905</f>
        <v>-6905</v>
      </c>
    </row>
    <row r="23" spans="8:10" ht="12.75">
      <c r="H23" s="133"/>
      <c r="J23" s="49"/>
    </row>
    <row r="24" spans="2:10" ht="12.75">
      <c r="B24" s="51" t="s">
        <v>222</v>
      </c>
      <c r="H24" s="117">
        <f>SUM(H17:H22)</f>
        <v>12357.277270912056</v>
      </c>
      <c r="J24" s="43">
        <f>SUM(J17:J22)</f>
        <v>33467</v>
      </c>
    </row>
    <row r="25" spans="8:10" ht="12.75">
      <c r="H25" s="117"/>
      <c r="J25" s="43"/>
    </row>
    <row r="26" spans="2:10" ht="12.75">
      <c r="B26" s="51" t="s">
        <v>99</v>
      </c>
      <c r="H26" s="117"/>
      <c r="J26" s="43"/>
    </row>
    <row r="27" spans="3:10" ht="12.75">
      <c r="C27" t="s">
        <v>36</v>
      </c>
      <c r="H27" s="117">
        <f>SUM('[3]cashflow'!$G$55:$G$63)+1446*0</f>
        <v>-9241.607882296552</v>
      </c>
      <c r="J27" s="43">
        <f>-15558</f>
        <v>-15558</v>
      </c>
    </row>
    <row r="28" spans="3:10" ht="12.75">
      <c r="C28" t="s">
        <v>37</v>
      </c>
      <c r="H28" s="117">
        <f>SUM('[3]cashflow'!$G$64:$G$65)</f>
        <v>32469.222646474493</v>
      </c>
      <c r="J28" s="43">
        <f>-10356</f>
        <v>-10356</v>
      </c>
    </row>
    <row r="29" spans="8:10" ht="12.75">
      <c r="H29" s="133"/>
      <c r="J29" s="49"/>
    </row>
    <row r="30" spans="2:10" ht="12.75">
      <c r="B30" s="14" t="s">
        <v>163</v>
      </c>
      <c r="H30" s="117">
        <f>SUM(H24:H28)-1</f>
        <v>35583.89203509</v>
      </c>
      <c r="J30" s="43">
        <f>SUM(J24:J28)</f>
        <v>7553</v>
      </c>
    </row>
    <row r="31" spans="8:10" ht="12.75">
      <c r="H31" s="117"/>
      <c r="J31" s="43"/>
    </row>
    <row r="32" spans="2:10" ht="12.75">
      <c r="B32" t="s">
        <v>34</v>
      </c>
      <c r="H32" s="117">
        <f>'[3]cashflow'!$G$70</f>
        <v>-3537.3810399999993</v>
      </c>
      <c r="J32" s="43">
        <f>-3284</f>
        <v>-3284</v>
      </c>
    </row>
    <row r="33" spans="2:10" ht="12.75">
      <c r="B33" t="s">
        <v>35</v>
      </c>
      <c r="H33" s="117">
        <f>'[3]cashflow'!$G$69</f>
        <v>7004.414427280999</v>
      </c>
      <c r="J33" s="43">
        <f>6905</f>
        <v>6905</v>
      </c>
    </row>
    <row r="34" spans="2:10" ht="12.75">
      <c r="B34" s="51" t="s">
        <v>203</v>
      </c>
      <c r="H34" s="117">
        <f>'[3]cashflow'!$G$71</f>
        <v>-929.819244493</v>
      </c>
      <c r="J34" s="43">
        <f>-690</f>
        <v>-690</v>
      </c>
    </row>
    <row r="35" spans="8:10" ht="12.75">
      <c r="H35" s="133"/>
      <c r="J35" s="43"/>
    </row>
    <row r="36" spans="2:10" ht="12.75">
      <c r="B36" s="14" t="s">
        <v>164</v>
      </c>
      <c r="H36" s="134">
        <f>SUM(H30:H35)</f>
        <v>38121.106177878</v>
      </c>
      <c r="J36" s="52">
        <f>SUM(J30:J35)</f>
        <v>10484</v>
      </c>
    </row>
    <row r="37" spans="2:10" ht="12.75">
      <c r="B37" s="5" t="s">
        <v>2</v>
      </c>
      <c r="H37" s="117"/>
      <c r="J37" s="43"/>
    </row>
    <row r="38" spans="1:10" ht="12.75">
      <c r="A38" s="4" t="s">
        <v>38</v>
      </c>
      <c r="H38" s="117"/>
      <c r="J38" s="43"/>
    </row>
    <row r="39" spans="1:10" ht="12.75">
      <c r="A39" s="4"/>
      <c r="B39" t="s">
        <v>220</v>
      </c>
      <c r="H39" s="171">
        <f>'[3]cashflow'!$G$77</f>
        <v>-2020</v>
      </c>
      <c r="J39" s="43">
        <f>-75</f>
        <v>-75</v>
      </c>
    </row>
    <row r="40" spans="1:10" ht="12.75">
      <c r="A40" s="4"/>
      <c r="B40" s="105" t="s">
        <v>117</v>
      </c>
      <c r="H40" s="117">
        <v>0</v>
      </c>
      <c r="J40" s="15">
        <v>13049</v>
      </c>
    </row>
    <row r="41" spans="2:10" ht="12.75">
      <c r="B41" t="s">
        <v>39</v>
      </c>
      <c r="H41" s="117">
        <f>'[3]cashflow'!$G$79</f>
        <v>-2653.2982495170004</v>
      </c>
      <c r="J41" s="43">
        <f>-5303</f>
        <v>-5303</v>
      </c>
    </row>
    <row r="42" spans="2:10" ht="12.75">
      <c r="B42" s="51" t="s">
        <v>121</v>
      </c>
      <c r="H42" s="117">
        <v>0</v>
      </c>
      <c r="J42" s="43">
        <f>-17185</f>
        <v>-17185</v>
      </c>
    </row>
    <row r="43" spans="2:10" ht="12.75">
      <c r="B43" s="105" t="s">
        <v>204</v>
      </c>
      <c r="H43" s="117">
        <f>'[3]cashflow'!$G$78*0</f>
        <v>0</v>
      </c>
      <c r="J43" s="117">
        <f>-10024</f>
        <v>-10024</v>
      </c>
    </row>
    <row r="44" spans="2:10" ht="12.75">
      <c r="B44" s="105" t="s">
        <v>182</v>
      </c>
      <c r="H44" s="117">
        <f>'[3]cashflow'!$G$85+1</f>
        <v>-12862.562555381</v>
      </c>
      <c r="J44" s="171">
        <f>-10131</f>
        <v>-10131</v>
      </c>
    </row>
    <row r="45" spans="2:10" ht="12.75">
      <c r="B45" t="s">
        <v>40</v>
      </c>
      <c r="H45" s="117">
        <f>'[3]cashflow'!$G$80</f>
        <v>936.537283597999</v>
      </c>
      <c r="J45" s="117">
        <f>1289</f>
        <v>1289</v>
      </c>
    </row>
    <row r="46" spans="2:10" ht="12.75">
      <c r="B46" t="s">
        <v>211</v>
      </c>
      <c r="H46" s="117">
        <f>'[3]cashflow'!$G$86*0</f>
        <v>0</v>
      </c>
      <c r="J46" s="117">
        <f>1705</f>
        <v>1705</v>
      </c>
    </row>
    <row r="47" spans="2:10" ht="12.75">
      <c r="B47" t="s">
        <v>183</v>
      </c>
      <c r="H47" s="117">
        <f>'[3]cashflow'!$G$89-193</f>
        <v>6699</v>
      </c>
      <c r="J47" s="117">
        <f>465</f>
        <v>465</v>
      </c>
    </row>
    <row r="48" spans="2:10" ht="12.75">
      <c r="B48" s="105" t="s">
        <v>242</v>
      </c>
      <c r="H48" s="117">
        <f>'[3]cashflow'!$G$87+'[3]cashflow'!$G$90</f>
        <v>17424.316970000007</v>
      </c>
      <c r="J48" s="117">
        <v>0</v>
      </c>
    </row>
    <row r="49" spans="2:10" ht="12.75">
      <c r="B49" s="105" t="s">
        <v>174</v>
      </c>
      <c r="H49" s="117">
        <v>0</v>
      </c>
      <c r="J49" s="117">
        <f>39044</f>
        <v>39044</v>
      </c>
    </row>
    <row r="50" spans="2:10" ht="12.75">
      <c r="B50" s="105" t="s">
        <v>195</v>
      </c>
      <c r="H50" s="117">
        <f>'[3]cashflow'!$G$86+193</f>
        <v>1842.6865500000001</v>
      </c>
      <c r="J50" s="43">
        <v>0</v>
      </c>
    </row>
    <row r="51" spans="2:10" ht="12.75">
      <c r="B51" s="51" t="s">
        <v>100</v>
      </c>
      <c r="H51" s="117">
        <f>'[3]cashflow'!$G$82</f>
        <v>-13.065779999999998</v>
      </c>
      <c r="J51" s="43">
        <f>-21</f>
        <v>-21</v>
      </c>
    </row>
    <row r="52" spans="2:10" ht="12.75">
      <c r="B52" s="105" t="s">
        <v>125</v>
      </c>
      <c r="H52" s="117">
        <f>'[3]cashflow'!$G$81</f>
        <v>-0.7947099999999947</v>
      </c>
      <c r="J52" s="43">
        <v>0</v>
      </c>
    </row>
    <row r="53" spans="2:10" ht="12.75">
      <c r="B53" s="105" t="s">
        <v>116</v>
      </c>
      <c r="H53" s="117">
        <v>0</v>
      </c>
      <c r="J53" s="15">
        <v>-22903</v>
      </c>
    </row>
    <row r="54" spans="2:10" ht="12.75">
      <c r="B54" s="51" t="s">
        <v>42</v>
      </c>
      <c r="H54" s="117">
        <f>'[3]cashflow'!$G$92</f>
        <v>1867.1660800000002</v>
      </c>
      <c r="J54" s="43">
        <f>848</f>
        <v>848</v>
      </c>
    </row>
    <row r="55" spans="2:10" ht="12.75">
      <c r="B55" s="105" t="s">
        <v>175</v>
      </c>
      <c r="H55" s="117">
        <f>'[3]cashflow'!$G$95+'[3]cashflow'!$G$94</f>
        <v>-259.68147</v>
      </c>
      <c r="J55" s="43">
        <v>0</v>
      </c>
    </row>
    <row r="56" spans="2:10" ht="12.75">
      <c r="B56" s="105" t="s">
        <v>221</v>
      </c>
      <c r="H56" s="117">
        <f>'[3]cashflow'!$G$96</f>
        <v>1598.1141099999995</v>
      </c>
      <c r="J56" s="43">
        <v>0</v>
      </c>
    </row>
    <row r="57" spans="8:10" ht="12.75">
      <c r="H57" s="117"/>
      <c r="J57" s="43"/>
    </row>
    <row r="58" spans="2:10" ht="12.75">
      <c r="B58" s="14" t="s">
        <v>128</v>
      </c>
      <c r="H58" s="134">
        <f>SUM(H39:H56)</f>
        <v>12558.418228700004</v>
      </c>
      <c r="J58" s="52">
        <f>SUM(J39:J57)</f>
        <v>-9242</v>
      </c>
    </row>
    <row r="59" spans="8:10" ht="12.75">
      <c r="H59" s="117"/>
      <c r="J59" s="43"/>
    </row>
    <row r="60" spans="1:10" ht="12.75">
      <c r="A60" s="4" t="s">
        <v>41</v>
      </c>
      <c r="H60" s="117"/>
      <c r="J60" s="43"/>
    </row>
    <row r="61" spans="1:10" ht="12.75">
      <c r="A61" s="4"/>
      <c r="B61" t="s">
        <v>212</v>
      </c>
      <c r="H61" s="117"/>
      <c r="J61" s="43"/>
    </row>
    <row r="62" spans="1:10" ht="12.75">
      <c r="A62" s="4"/>
      <c r="B62" t="s">
        <v>213</v>
      </c>
      <c r="H62" s="117"/>
      <c r="J62" s="43">
        <v>4611</v>
      </c>
    </row>
    <row r="63" spans="1:10" ht="12.75">
      <c r="A63" s="4"/>
      <c r="B63" t="s">
        <v>193</v>
      </c>
      <c r="H63" s="117">
        <v>0</v>
      </c>
      <c r="J63" s="43">
        <f>-374</f>
        <v>-374</v>
      </c>
    </row>
    <row r="64" spans="1:10" ht="12.75">
      <c r="A64" s="4"/>
      <c r="B64" t="s">
        <v>160</v>
      </c>
      <c r="H64" s="117">
        <f>'[3]cashflow'!$G$101</f>
        <v>-21577.136949999986</v>
      </c>
      <c r="J64" s="43">
        <f>-5542</f>
        <v>-5542</v>
      </c>
    </row>
    <row r="65" spans="1:10" ht="12.75">
      <c r="A65" s="4"/>
      <c r="B65" t="s">
        <v>196</v>
      </c>
      <c r="H65" s="117">
        <f>'[3]cashflow'!$G$102</f>
        <v>90763.330245602</v>
      </c>
      <c r="J65" s="43">
        <f>-137758</f>
        <v>-137758</v>
      </c>
    </row>
    <row r="66" spans="1:10" ht="12.75">
      <c r="A66" s="4"/>
      <c r="B66" t="s">
        <v>197</v>
      </c>
      <c r="H66" s="117">
        <f>'[3]cashflow'!$G$103</f>
        <v>14624</v>
      </c>
      <c r="J66" s="43">
        <v>20</v>
      </c>
    </row>
    <row r="67" spans="1:10" ht="12.75">
      <c r="A67" s="4"/>
      <c r="B67" t="s">
        <v>122</v>
      </c>
      <c r="H67" s="117">
        <f>'[3]cashflow'!$G$107</f>
        <v>-1279</v>
      </c>
      <c r="J67" s="43">
        <f>-2618</f>
        <v>-2618</v>
      </c>
    </row>
    <row r="68" spans="1:10" ht="12.75">
      <c r="A68" s="4"/>
      <c r="B68" t="s">
        <v>129</v>
      </c>
      <c r="H68" s="117">
        <f>'[3]cashflow'!$G$105</f>
        <v>400568.691849224</v>
      </c>
      <c r="J68" s="43">
        <v>260582</v>
      </c>
    </row>
    <row r="69" spans="2:10" ht="12.75">
      <c r="B69" s="51" t="s">
        <v>106</v>
      </c>
      <c r="H69" s="117">
        <f>'[3]cashflow'!$G$106</f>
        <v>-510048.13682922407</v>
      </c>
      <c r="J69" s="43">
        <f>-158276</f>
        <v>-158276</v>
      </c>
    </row>
    <row r="70" spans="2:10" ht="12.75">
      <c r="B70" s="51" t="s">
        <v>112</v>
      </c>
      <c r="H70" s="117">
        <f>'[3]cashflow'!$G$104</f>
        <v>-3533.0095890000002</v>
      </c>
      <c r="J70" s="43">
        <f>-3213</f>
        <v>-3213</v>
      </c>
    </row>
    <row r="71" spans="2:10" ht="12.75">
      <c r="B71" s="105" t="s">
        <v>192</v>
      </c>
      <c r="H71" s="117">
        <v>0</v>
      </c>
      <c r="J71" s="43">
        <f>-1907</f>
        <v>-1907</v>
      </c>
    </row>
    <row r="72" spans="8:10" ht="12.75">
      <c r="H72" s="117"/>
      <c r="J72" s="43"/>
    </row>
    <row r="73" spans="2:10" ht="12.75">
      <c r="B73" s="14" t="s">
        <v>161</v>
      </c>
      <c r="H73" s="134">
        <f>SUM(H64:H72)</f>
        <v>-30481.261273398042</v>
      </c>
      <c r="J73" s="52">
        <f>SUM(J62:J71)</f>
        <v>-44475</v>
      </c>
    </row>
    <row r="74" spans="8:10" ht="12.75">
      <c r="H74" s="117"/>
      <c r="J74" s="43"/>
    </row>
    <row r="75" spans="1:10" ht="12.75">
      <c r="A75" s="14" t="s">
        <v>198</v>
      </c>
      <c r="H75" s="117">
        <f>H36+H58+H73</f>
        <v>20198.263133179957</v>
      </c>
      <c r="J75" s="43">
        <f>J36+J58+J73</f>
        <v>-43233</v>
      </c>
    </row>
    <row r="76" spans="8:10" ht="12.75">
      <c r="H76" s="117"/>
      <c r="J76" s="43"/>
    </row>
    <row r="77" spans="1:10" ht="12.75">
      <c r="A77" s="14" t="s">
        <v>145</v>
      </c>
      <c r="H77" s="117">
        <f>168337</f>
        <v>168337</v>
      </c>
      <c r="J77" s="43">
        <f>229495</f>
        <v>229495</v>
      </c>
    </row>
    <row r="78" spans="1:10" ht="12.75">
      <c r="A78" s="4"/>
      <c r="H78" s="117"/>
      <c r="J78" s="43"/>
    </row>
    <row r="79" spans="1:10" ht="12.75">
      <c r="A79" s="4" t="s">
        <v>43</v>
      </c>
      <c r="H79" s="117">
        <f>'[3]cashflow'!$G$118+3</f>
        <v>-290.7392894505028</v>
      </c>
      <c r="J79" s="43">
        <f>-949</f>
        <v>-949</v>
      </c>
    </row>
    <row r="80" spans="1:10" ht="12.75">
      <c r="A80" s="4"/>
      <c r="H80" s="117"/>
      <c r="J80" s="43"/>
    </row>
    <row r="81" spans="1:10" ht="13.5" thickBot="1">
      <c r="A81" s="14" t="s">
        <v>146</v>
      </c>
      <c r="H81" s="131">
        <f>SUM(H75:H79)-1</f>
        <v>188243.52384372946</v>
      </c>
      <c r="J81" s="50">
        <f>SUM(J75:J79)</f>
        <v>185313</v>
      </c>
    </row>
    <row r="82" spans="8:10" ht="12.75">
      <c r="H82" s="122"/>
      <c r="J82" s="43"/>
    </row>
    <row r="83" spans="8:10" ht="12.75">
      <c r="H83" s="122"/>
      <c r="J83" s="43"/>
    </row>
    <row r="84" spans="1:10" ht="12.75">
      <c r="A84" s="14" t="s">
        <v>44</v>
      </c>
      <c r="H84" s="122"/>
      <c r="J84" s="43"/>
    </row>
    <row r="85" spans="8:10" ht="12.75">
      <c r="H85" s="122"/>
      <c r="J85" s="43"/>
    </row>
    <row r="86" spans="2:10" ht="12.75">
      <c r="B86" s="14" t="s">
        <v>107</v>
      </c>
      <c r="H86" s="117">
        <f>'[3]cashflow'!$G$127</f>
        <v>-883</v>
      </c>
      <c r="J86" s="43">
        <f>-1110</f>
        <v>-1110</v>
      </c>
    </row>
    <row r="87" spans="2:10" ht="12.75">
      <c r="B87" s="4" t="s">
        <v>13</v>
      </c>
      <c r="H87" s="117">
        <f>'[3]cashflow'!$G$125</f>
        <v>46939.288577765</v>
      </c>
      <c r="J87" s="43">
        <f>72321</f>
        <v>72321</v>
      </c>
    </row>
    <row r="88" spans="2:10" ht="12.75">
      <c r="B88" s="4" t="s">
        <v>45</v>
      </c>
      <c r="H88" s="117">
        <f>'[3]cashflow'!$G$126</f>
        <v>142188.34385586908</v>
      </c>
      <c r="J88" s="43">
        <f>114102</f>
        <v>114102</v>
      </c>
    </row>
    <row r="89" spans="8:10" ht="12.75">
      <c r="H89" s="117"/>
      <c r="J89" s="43"/>
    </row>
    <row r="90" spans="8:10" ht="13.5" thickBot="1">
      <c r="H90" s="131">
        <f>SUM(H86:H88)-1</f>
        <v>188243.63243363408</v>
      </c>
      <c r="J90" s="50">
        <f>SUM(J86:J88)</f>
        <v>185313</v>
      </c>
    </row>
    <row r="91" ht="12.75">
      <c r="H91" s="46"/>
    </row>
    <row r="92" ht="12.75">
      <c r="A92" s="14"/>
    </row>
    <row r="93" spans="1:12" ht="12.75">
      <c r="A93" s="182" t="s">
        <v>251</v>
      </c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</row>
    <row r="94" spans="1:12" ht="12.75">
      <c r="A94" s="182" t="s">
        <v>143</v>
      </c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</row>
    <row r="95" spans="1:12" ht="12.7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</row>
  </sheetData>
  <mergeCells count="6">
    <mergeCell ref="A95:L95"/>
    <mergeCell ref="A93:L93"/>
    <mergeCell ref="A94:L94"/>
    <mergeCell ref="A1:K1"/>
    <mergeCell ref="A2:K2"/>
    <mergeCell ref="A3:K3"/>
  </mergeCells>
  <printOptions/>
  <pageMargins left="1.19" right="0.24" top="0.33" bottom="0" header="0.24" footer="0.5"/>
  <pageSetup fitToHeight="1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Insas Bhd</cp:lastModifiedBy>
  <cp:lastPrinted>2011-05-25T02:40:26Z</cp:lastPrinted>
  <dcterms:created xsi:type="dcterms:W3CDTF">2000-02-14T08:00:04Z</dcterms:created>
  <dcterms:modified xsi:type="dcterms:W3CDTF">2011-05-30T09:54:37Z</dcterms:modified>
  <cp:category/>
  <cp:version/>
  <cp:contentType/>
  <cp:contentStatus/>
</cp:coreProperties>
</file>